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comments7.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9.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3"/>
    <sheet name="🖐🏾 Human" sheetId="2" state="visible" r:id="rId4"/>
    <sheet name="🤖 Claude Haiku 3.5" sheetId="3" state="visible" r:id="rId5"/>
    <sheet name="🤖 Command R+" sheetId="4" state="visible" r:id="rId6"/>
    <sheet name="🤖 GPT 4o" sheetId="5" state="visible" r:id="rId7"/>
    <sheet name="🤖 Reka Flash" sheetId="6" state="visible" r:id="rId8"/>
    <sheet name="🤖 Llama-3.1-70b-instruct" sheetId="7" state="visible" r:id="rId9"/>
    <sheet name="📚 Glossary" sheetId="8" state="visible" r:id="rId10"/>
    <sheet name="__flatlist__" sheetId="9" state="hidden" r:id="rId11"/>
    <sheet name="✏️ Notes" sheetId="10" state="visible" r:id="rId12"/>
    <sheet name="__lookup__" sheetId="11" state="hidden" r:id="rId13"/>
  </sheets>
  <definedNames>
    <definedName function="false" hidden="true" localSheetId="0" name="_xlnm._FilterDatabase" vbProcedure="false">Summary!$A$1:$K$23</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E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rFont val="Arial"/>
            <family val="2"/>
          </rPr>
          <t xml:space="preserve">Relevance - selection of important content from the source. The summary should include only important information from the source document.</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D4" authorId="0">
      <text>
        <r>
          <rPr>
            <sz val="10"/>
            <rFont val="Arial"/>
            <family val="2"/>
          </rPr>
          <t xml:space="preserve">Litioaren Triangelua &gt; Catamarca</t>
        </r>
      </text>
    </comment>
    <comment ref="D12" authorId="0">
      <text>
        <r>
          <rPr>
            <sz val="10"/>
            <rFont val="Arial"/>
            <family val="2"/>
          </rPr>
          <t xml:space="preserve">model inserted correct external knowledge (underlined); should this be considered an error for consistency as are hallucinations? I'd say no</t>
        </r>
      </text>
    </comment>
    <comment ref="F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rFont val="Arial"/>
            <family val="2"/>
          </rPr>
          <t xml:space="preserve">Relevance - selection of important content from the source. The summary should include only important information from the source document.</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E1" authorId="0">
      <text>
        <r>
          <rPr>
            <sz val="10"/>
            <rFont val="Arial"/>
            <family val="2"/>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rFont val="Arial"/>
            <family val="2"/>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rFont val="Arial"/>
            <family val="2"/>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rFont val="Arial"/>
            <family val="2"/>
          </rPr>
          <t xml:space="preserve">Relevance - selection of important content from the source. The summary should include only important information from the source document.</t>
        </r>
      </text>
    </comment>
  </commentList>
</comments>
</file>

<file path=xl/sharedStrings.xml><?xml version="1.0" encoding="utf-8"?>
<sst xmlns="http://schemas.openxmlformats.org/spreadsheetml/2006/main" count="1900" uniqueCount="304">
  <si>
    <t xml:space="preserve">ID</t>
  </si>
  <si>
    <t xml:space="preserve">Model</t>
  </si>
  <si>
    <t xml:space="preserve">Prompt</t>
  </si>
  <si>
    <t xml:space="preserve">wc</t>
  </si>
  <si>
    <t xml:space="preserve">Coherence</t>
  </si>
  <si>
    <t xml:space="preserve">Consistency</t>
  </si>
  <si>
    <t xml:space="preserve">Fluency</t>
  </si>
  <si>
    <t xml:space="preserve">Relevance</t>
  </si>
  <si>
    <t xml:space="preserve">5W1H</t>
  </si>
  <si>
    <t xml:space="preserve">avg</t>
  </si>
  <si>
    <t xml:space="preserve">rank</t>
  </si>
  <si>
    <t xml:space="preserve">coh</t>
  </si>
  <si>
    <t xml:space="preserve">cons</t>
  </si>
  <si>
    <t xml:space="preserve">fluen</t>
  </si>
  <si>
    <t xml:space="preserve">rel</t>
  </si>
  <si>
    <t xml:space="preserve">Human</t>
  </si>
  <si>
    <t xml:space="preserve">Heading</t>
  </si>
  <si>
    <t xml:space="preserve">Claude Sonnet 3.5</t>
  </si>
  <si>
    <t xml:space="preserve">Base</t>
  </si>
  <si>
    <t xml:space="preserve">CoT</t>
  </si>
  <si>
    <t xml:space="preserve">tldr</t>
  </si>
  <si>
    <t xml:space="preserve">Command R+</t>
  </si>
  <si>
    <t xml:space="preserve">GPT 4o</t>
  </si>
  <si>
    <t xml:space="preserve">Reka Core</t>
  </si>
  <si>
    <t xml:space="preserve">Llama-3.1-70b-instruct</t>
  </si>
  <si>
    <t xml:space="preserve">AVERAGE</t>
  </si>
  <si>
    <t xml:space="preserve">STDEV</t>
  </si>
  <si>
    <t xml:space="preserve">Text</t>
  </si>
  <si>
    <t xml:space="preserve">Author</t>
  </si>
  <si>
    <t xml:space="preserve">Summary</t>
  </si>
  <si>
    <t xml:space="preserve">https://www.berria.eus/kirola/hau-badakit-egunen-batean-aterako-da-barruan-dudan-jokoa_2123931_102.html</t>
  </si>
  <si>
    <t xml:space="preserve">"Asko eta ozen entzun zen «Unai Laso, ale! Unai Laso, ale!» oihu ezaguna Labriten, duela bi aste, Bizkarreta-Gerendiaingoak (Nafarroa) Joanes Bakaikoari 22-9 irabazi zion buruz burukoaren final-zortzirenetako partidan. «Seinale ona da», dio Lasok, baita «berezia» izan zela ia urtebeteren ostean berriro buruz buru aritzea ere; non, eta etxean. «Gertuko asko joan ziren: senitarteko asko, herriko eta Iruñeko kuadrillakoak... Asko animatzen naute beti; izugarri eskertzen diet».
Ia urtebeteren ostean ari zara berriro buruz burukoan. Berezia izan da itzulera?
Hil ala biziko partida izan arren, ilusio handiz heldu nion Joanesen aurkako partidari. Urte txarra pasatu dut, eta opari gisa hartu dut berriro txapelketa garrantzitsuenean aritzea. Hasieratik sumatu zen gogo handia nuela jokatzeko.
Hil ala biziko partida, ia urtebete buruz buru aritu gabe eta, tartean, sei hilabetez min hartuta. Hori kontuan hartuta, beldurra zenion lehen neurketari?
Beldurra ez, baina errespetua bai; beti izan behar da. Buruz indartsu eta ondo entrenatuta joan behar zara frontoira. Hasieratik ikusi zen Joanes aurkari oso gogorra zela. Tanto borrokatu asko egon ziren, baina inoiz ez nuen etsi, eta asko nire aldekoak izan ziren; hori oso garrantzitsua izan zen. Nekatu egin nintzen, tentsioagatik, baina gustura aritu nintzen.
Kanpotik ikusita, oso ondo aritu zinen. Zuk nola ikusi zenuen zeure burua?
Ongi. Badakit asko dudala hobetzeko, eta oraindik ez dudala eman barruan dudan guztia. Horrek motibatzen nau; horretarako entrenatzen naiz egunero.
Aspaldian jokatu duzun partidarik onena izan da?
Binakakoan ere partida onak egin nituen, baina binakakoa eta buruz burukoa oso modalitate ezberdinak dira. Ondo aritu nintzen Joanesen aurka, baina ez zen partida osoa izan; hark ezin izan zuen atera bere jokoa, eta ez ninduen asko behartu. Orain, ligaxkan, aurkari gogorrak izango ditut, eta partidak ezberdinak izango dira.
Zertan aritu zinen ondoen?
Pilota gozatzen. Hankaz hobeto aritu nintzen, baita defentsan, ezkerrarekin oinetara jokatzen eta errestoan ere. Buruz ere ondo aritu nintzen, ausart eta zalantza egin gabe. Aldiz, sakearekin aritu nintzen okerren; askotan ez nuen ondo sakatu. Baina, guztia kontuan hartuta, ondo aritu nintzen.
«Eskuinarekin gozatzen hobetu dut gehien. Aldiz, oraindik nahi baino mantsoago mugitzen naiz kantxan».
Zertan hobetu duzu gehien?
Eskuinarekin gozatzen. Binakakoan ez nintzen gai izan nire jokoa egiteko: ez nuen gozatu eskuinarekin, eta, nik gozatzen dudanean egiten diot min handia aurkariari. Gero eta hobeto ari naiz, batez ere, gero eta min gutxiago baitut entrenamenduetan eta partidetan. Lan asko dut egiteko, baina nabarit dut gero eta hobeto ari naizela.
Zertan duzu gehien hobetzeko?
Frontoian mugitzen; nahi baino mantsoago mugitzen naiz. Osatuta nago, baina oraindik astero joaten naiz fisioterapeutarengana. Ez da urtebete pasatu ebakuntza egin zidatenetik, eta oraindik mugikortasun pixka bat falta zait. Hala ere, ez diot horri buelta askorik ematen. Partidetan beti saiatzen naiz barruan dudan guztia ematen.
«Laso bueltan da», diote pilotazaleek. Zer pentsatzen duzu hori entzuten duzunean?
Ez diot kasurik egiten. Nirean dut arreta osoa; badakit oraindik ez dudala atera barruan dudan joko guztia.
Nola zaude lehengo Lasorengandik: oso urrun, urrun, gertu ala oso gertu?
Ez dakit. Gertu egon edo ez, jokatu egin behar dut, eta nirea eman. Hau badakit: egunen batean aterako da barruan dudan jokoa. Partida onak jokatu ditut itzuli nintzenetik, baina oraindik asko dut hobetzeko.
Gero eta hobeto ari zarela diozu. Horrek mesede egiten dio buruari?
Bai, noski. Aldakan jada ez dut lehengo mina; horrek axola dit: egunerokoan minik ez izateak.
Binakakoan Aitor Aranguren eta zu ez zineten sailkatu kanporaketarako. Txarrenari onena aterata, denbora izan duzu buruz burukoa ondo prestatzeko?
Bai, izan dut, agerikoa da. Baina, aldakaren egoera dela eta, ez naiz gogor entrenatu beste pilotari baten aurka. Teknika landu dut gehien, sakea eta halakoak, baina ezer gutxi gehiago ez. Hala ere, ongi prestatuta nago. Ez dago aitzakiarik.
Binakakoan aritu zinen lehen aldiz lesioa osatu berritan. Nola moldatu zinen?
Lehen txapelketa izan zen lesiotik bueltan. Ez nuen hartu entrenamendu baten gisan, txapelketa baitzen, baina pixkanaka-pixkanaka sasoia, erritmoa eta jokoa berreskuratzeko aprobetxatu nuen.
Binakakoan egindakoa bigarren mailan geratu da kontuan hartuta nondik zentozen?
Niretzat dena zen oparia. Izugarria zen ibili ezinik egon ondoren, berriro Lehen Mailako txapelketa bat jokatzea, eta, gutxienez, borrokatzea. Irabazi ala galdu, unean uneko kontuak dira, partidako detaileak. Dena izan zen ona: berriro jokatzea, eta bete-betean ez bada ere, borrokatzea.
Lehen esan duzu aurkari gogorrak izango dituzula ligaxkan. Gogorrenaren kontra ariko zara hasteko: Jokin Altunaren aurka. Zer sentitzen duzu?
Gogo izugarria dut haren aurka jokatzeko. Jokin oso ondo prestatuta egongo da: duela bi aste jokatu zuen binakakoaren finala, eta denbora izan du buruz burukoa prestatzeko; asko entrenatu da. Baina ni ongi nago, nire lana ondo egin dut, eta horrek konfiantza ematen dit. Ea nola doan partida.
«Jokini irabazteko bete-betean jokatu behar dut, baina seguru nago bete-betean joka dezakedala».
Zer itxura hartzen diozu?
Oso gogorra; halakoak dira Jokinen aurkako guztiak. Irabazi nahi badiot, bete-betean jokatu behar dut. Sasoiko atera behar naiz.
Bete-betean jokatu dezakezu?
Bai, seguru nago bete-betean joka dezakedala. Horretarako entrenatu naiz.
Non egongo da gakoa?
Bete-betean aritu behar naiz, adi-adi, eta ausart; ondo sakatu behar dut.
Bilbon ariko zarete. Han irabazi zenion 2022an, finalerdietan, eta gero, txapeldun izan zinen. Orduko oroitzapenak etortzen zaizkizu burura orain?
Bai, baina iaz Bilbon jokatu genuen elkarren aurka ligaxkan, eta irabazi egin zidan [22-9]. Partida guztiak ezberdinak dira, baita bakoitzaren sasoiak ere.
Zer helburu duzu buruz burukoan?
Minik ez hartzea, eta partidaz partida joatea. Gozatu egin nahi dut, partida guztietan gogor borrokatu eta irabaztera joan."</t>
  </si>
  <si>
    <t xml:space="preserve">«Hau badakit: egunen batean aterako da barruan dudan jokoa». Binakakoan itzuli zen Unai Laso, urte erdiz min hartuta egon ostean. Ordutik «gora» egin duela dio, baina baita oraindik «asko» duela hobetzeko ere. Bakaikoari nagusitasunez irabazi ostean, Altuna III.a du zain, igandean, Bilbon. «Oso gogotsu» dago.</t>
  </si>
  <si>
    <t xml:space="preserve">Jeremy</t>
  </si>
  <si>
    <t xml:space="preserve">Unai Lasok buruz burukoaren final-zortzirenetako partidan irabazi zion Joanes Bakaikoari 22-9 Labriten, bere familia eta lagunen aurrean, urte txarra pasa ondoren. Nahiz eta urtebete pasatu ez izan aldkakan ebakuntza egin ziotenetik eta kantxan nahi baino mantsoago mugitu, ondo ibili zen bai defentsan bai errestoan. Aurreko binakako txapelketa aprobetxatu zuen sasoia berreskuratzeko, baina ez zen guztiz gai izan bere jokoa egiteko eta kanpo gelditu zen. Hurrengo aurkalaria Jokin Altuna izango du eta gogorra izango dela jakin arren, haren aurka jokatzeko gogo izugarria omen du.</t>
  </si>
  <si>
    <t xml:space="preserve">https://www.berria.eus/ekonomia/kutxabankek-2116-euro-bideratu-zituen-karbono-gutxiko-proiektuak-finantzatzera_2120192_102.html</t>
  </si>
  <si>
    <t xml:space="preserve">"Kutxabankek 2.116 milioi euro jarri zituen iaz jasangarritasunerako bere barne irizpideak betetzen dituzten proiektuak finantzatzeko.
Zatirik handiena (1.369 milioi euro) enpresek jasotako maileguak izan ziren. Horien barruan sartzen dira energia berriztagarriak sortzeko eta instalazioak jartzeko proiektuak, mugikortasun jasangarriko jarduerak, eta energetikoki eraginkorrak diren etxebizitzak sustatzeko inbertsioak.
Azken etxebizitza horiek erosteko mailegu berezi bat badu Kutxabankek, Hipoteka Berdea deitutakoa. Mailegu hori sinatu duten bezero partikularrei 721 milioi euro utzi dizkie, hau da, aurreko urtean baino %6,7 gehiago, eta 2023an bankuak hipoteketan maileguetako diruaren %22. Hipoteka Berdeak finantzaketa baldintza bereziak eskaintzen dizkie energia ziurtagiririk onena duten higiezinei.
Kontsumorako kredituetan ere jasangarritasun irizpide batzuk finkatu ditu Kutxabankek, eta horiek betetzen dituztenentzat 25 milioi euroren maileguak eman zituen 2023an, aurreko urtean halako bide. Auto elektrikoak eta hibridoak erosteko erabili da mailegu horren zatirik handiena."</t>
  </si>
  <si>
    <t xml:space="preserve">Kutxabankek 2.116 euro milioi jarri ditu karbono gutxiko proiektuak finantzatzeko. Bankuaren Hipoteka Berdeak %6,7 hazi ziren iaz: 721 milioi utzi zituen guztira.</t>
  </si>
  <si>
    <t xml:space="preserve">Kutxabankek 2.116 milio euro gastatu zituen iaz jasangarriak diren proiektuak finantzatzeko. Horretarako, mailegu bereziak ematen dizkie jasangarritasun handiagoa lortzeko helburua duten enpresei eta partikularei.</t>
  </si>
  <si>
    <t xml:space="preserve">https://www.berria.eus/bizigiro/tradizioa-eta-abangoardia_2126379_102.html</t>
  </si>
  <si>
    <t xml:space="preserve">"Zeru lainotuaren azpian eta paisaia berde baten erdian elkartu dira sukaldaritzako profesionalak eta Euskal Herriko ekoizleak. Arrea jatetxeko Edorta Lamo eszenatokira igotzearekin batera hasi dira txaloak. Gastronomia sektoreko 250 profesionalek baino gehiagok osatzen duten publikoaren arreta dauka. Haren hitzek, suhartasunez beterik, etorkizun handiko egun baten hasiera markatu dute.
Mantalak antolatuta, euskal gastronomiaren epizentroa izan da Arkauti (Araba), Euskal Gastronomiaren Topaketaren hirugarren aldia egin baitute Nekazaritzako Elikagaien campusean. Arabako eta Euskal Herriko gastronomia sektorea batu nahi izan dute, eta, aldi berean, etorkizunari buruzko gogoeta egitera gonbidatu. Euskal gastronomia komunitatea bildu duen mahai inguru, tailer eta kultur emanaldien programarekin bete dute eguna, eta Arabako jakien altxorrak eta sukaldeetan irakiten dagoen talentua aldarrikatzea izan du helburu.
Gosari goxo batekin ekin diote egunari. Ondoren bai, bapo janda, hasi dira eguneko ekintzekin. Euskadiko paisaia gastronomikoa eta haren garapen agenteak hitzaldiak bildu du jende gehien. Aitor Arregik (Elkano), Maider Martinezek (DOP Idiazabal), Anna Montserratek (Mendialdeko Ogia) eta Alatz Bilbaok (Bakea) sektorearen etorkizunari buruz dituzten ikuspegien inguruan hitz egin dute.
Hasi da hartu-emana. Denek nabarmendu dute elkarren beharra: ekoizleek jatetxeak behar dituzte, eta alderantziz. «Nik Whatsappez hitz egiten dut nire bezeroekin; gertukoa da harremana», hasi da Martinez artzaina. Montserratek gauza bera egiten du ogiarekin. Eta, nola ez, sukaldariek badakite horri esker bermatzen dutela euren jatetxeetako plateren kalitate gorena. «Hasieratik saretu nintzen inguruko ekoizleekin. Oraindik gehiago ezagutu nahi ditut; beraz, publikoan norbait badago, badaki», esan du Bilbaok, barrez. Arregi da beteranoena, eta ondo ezagutzen du arraina ekartzen dion arrantzalea. Eztabaida sortzetik urrun, beraz, batak bestearen lana goraipatu du.
Hitzaldiak amaituta, gastronomia azokara joan dira gonbidatuak. Gastro Gaztea komunitateko sukaldari gazteak pintxo berritzaileak prestatzen ari dira. Hainbat proposamen dituzte, hala nola amuarrainarekin eta marrubiekin egindako elaborazioak. Euskal Ogien ogiak, gaztak, Euskal Gozogileak eta beste ere badaude. Eta gerturatu da jendea haiengana. «Pintxo bat, mesedez», eskatu du emakume batek. Dena irentsi du: «Ze ona!», poztu da.
Roberto Ruiz ekitaldiaren koordinatzailea eta Hika txakolindegiko sukaldaria arduratu da bazkariaz zerikusia zuen guztiaz. Irribarrez eta energiaz hitz egin du, egunak askorako eman baitu: «Topaketa hau erreferentzia puntua da; tradizioak eta modernitateak bat egiten dute gure sukaldaritzaren etorkizuna eraikitzeko. Aurten ere lortu dugu, eta garrantzitsua da guztiontzat ezagutzeko eta elkarrekin partekatzeko espazioak sortzea».
Euskal gastronomia ospatu ez ezik, zaporez eta sormenez betetako etorkizun bat irudikatu dute 250 gonbidatuek. Aurrerantzean, aurreikuspenak beteko diren ikusi beharko da; baina ezagutu, behintzat, ezagutuko dituzte."</t>
  </si>
  <si>
    <t xml:space="preserve">Tradizioa eta abangoardia. Gastronomia sektoreko 250 profesional baino gehiago bildu dira Arkautin, Euskal Gastronomiaren Topaketan. Iraunkortasuna, berrikuntza eta lurraldearekiko konpromisoa berretsi dituzte.</t>
  </si>
  <si>
    <t xml:space="preserve">250 sukaldaritzako profesional eta Euskal Herriko ekoizle baino gehiago bildu dira Arkautin antolatutako Euskal Gastronamiaren Topaketaren 3. aldian, Arabako jakia eta talentua aldarrikatzeko helburuarekin. Gosari eta bazkariaz gain, hitzaldiak, tailerrak, kultur emanaldiak, eta gastronomiaren azoka antolatu dituzte eta parte-hartzaileek aipatu dute elkar ezagutzeko eta elkarrekin partekatzeko espazioak sortzearen garrantzia, batez ere etorkizunari begira.</t>
  </si>
  <si>
    <t xml:space="preserve">https://www.berria.eus/mundua/nbek-43-mila-milioi-euro-eskatu-ditu-datorren-urtean-laguntza-humanitarioa-bermatzeko_2117704_102.html</t>
  </si>
  <si>
    <t xml:space="preserve">OCHA Gai Humanitarioak Koordinatzeko Nazio Batuen Bulegoaren arabera, datorren urtea «beltza» izango da alor humanitarioari dagokionez. Krisien kopurua eta eskala handitzen ari dira, eta 2024ko testuinguruak, lehen zantzuen arabera, ez du hobera egiteko itxurarik; gatazkak, klima larrialdia eta egoera ekonomikoek okerrera egitea dira, besteak beste, laguntzarako beharra eragiten duten faktoreetako batzuk, eta, beharrezko tresnarik eta baliabiderik gabe, OCHAk ezingo du laguntza bermatu. Horregatik, NBE Nazio Batuen Erakundearen Giza Gaietarako idazkariorde nagusi eta Larrialdi Laguntzako koordinatzaile Martin Griffithsek 43.000 milioi euro eskatu dizkio nazioarteari: «Humanitarioek bizitzak salbatu eta sufrimendua arindu dezakete modu egokian finantzatuta daudenean».
Datorren urtean 299,4 milioi lagunek beharko dute laguntza humanitarioa; batez ere, Ekialde Hurbilean —Palestinan eta Sirian, esaterako—, Ukrainan eta Sudanen. Eta gerrak eta gatazkak handitzen ari diren honetan, laguntza sistemak geroz eta erronka gehiago ditu, eta, horrekin lotuta, finantzaketa krisi handi bati aurre egin behar dio erakundeak. Ideia horretan jarri du arreta Griffithsek, aurten gertaturikoa adibide gisa hartuta: beharrezkoa zuten ia 53 mila milioi euroko funtsaren herena baino pixka bat gehiago besterik ez dute jaso. Hau da, 2010az geroztik lehen aldiz, 2023an txikitu egingo da laguntza humanitarioa, aurreko urtekoarekin konparatuz gero.
Today’s Global Humanitarian Overview is a wake-up call.
— Martin Griffiths (@UNReliefChief) December 11, 2023
Humanitarians can save lives and alleviate suffering when properly funded.
We are urgently appealing to donors to dig deep to fully fund the US$46Billion 2024 global appeal.#InvestInHumanity
«Laburpen Humanitario Globala [txostena] abisu bat da», ohartarazi du NBEren Giza Gaietarako idazkariorde nagusi eta Larrialdi Laguntzako koordinatzaileak. Horren erakusle da erakundeak berrikusi behar izan duela datorren urterako eskatu duen funtsa, premiarik handiena dutenengan arreta jartzeko —180,5 milioi pertsona, 72 herrialdetan—; hau da, berez, diru kopuru horrek handiagoa izan beharko luke. «Zaila» izan da hori egitea, baina Griffithsek esan du ziurtatu egin behar dutela laguntza agentziak «errealistak» izan behar direla beharrei erantzuteko orduan.
Eta 2024rako funtserako dei hori egitean, NBEren Giza Gaietarako idazkariorde nagusi eta Larrialdi Laguntzako koordinatzaileak aitortu du eskaturiko kopurua «masiboa» dela, eta badakiela ziurrenik ez dutela diru hori guztia bilduko; besteak beste, herrialde emaileetako batzuek zailtasun ekonomikoak dituztelako. Edonola ere, zera ohartarazi du Griffithsek: «Ezin badugu laguntza hori eman, jendeak bere bizitzarekin ordainduko du».
Aurten, iaz baino gutxiago
Ekintzarik eza da OCHAren kezka nagusia, eta hori, «batez ere», nahi baino finantzaketa gutxiago izatearekin lotuta dago, Laburpen Humanitario Globalean jasotakoaren arabera. Horrek ondorio zuzenak ditu: aurreikusitako pertsonen %62 lagundu dituzte aurten; %79 izan ziren iaz.
Datuak herrialdeka aztertuz gero, hamabi hilabeteotan Afganistanen —20,6 milioi lagun—, Etiopian —16,9 milioi—, Ukrainan —10,8 milioi—, Yemenen —8,7 milioi— eta Kongoko Errepublika Demokratikoan —7,2 milioi— egin du lan gehien NBEren erakunde horrek. Hain justu, horietan guztietan gatazkak edota horien ondorioak jasaten ari dira, eta ezin izan dituzte nahi bezala lagundu.
Hilabeteotan Afganistanen, Etiopian, Ukrainan, Yemenen eta Kongoko Errepublika Demokratikoan egin du lan gehien OCHAk
Adibidez, elikagai laguntzetan murrizketak izan dira, eta milaka lagun gosete arriskuan geratu dira —Afganistanen eta Sirian, batez ere—; aterpeetarako funtsik ezak eragin du, gainera, milaka pertsona «baldintza desegokietan» bizitzea Haitin eta Myanmarren, esaterako; eta ur edangarria eta garbitasuna bermatzeko baliabide gutxi izateak berekin ekarri du gaixotzeko arriskua handitzea —kasurako, Yemenen—.
Hori bai, txosten horrek albiste on batzuk ere ematen ditu. Krisi humanitarioak jasan dituzten zenbait herrialde beren egoera hobetzen ari dira, eta aurten jada ez daude laguntza programen zerrendan; horien adibide dira Kenya, Pakistan eta Malawi. Eta beste estatu batzuen kasuan, larrialdia geroz eta txikiagoa da; Somalian, esaterako, pixkanaka ari dira lehorteari aurre egiten, eta Yemenen, nazioartean aitorturiko gobernuaren eta matxino huthien arteko gerra nahiko lasaitu da, eta horrek eragin du erregai gehiago sartzea eta merkataritza sustatzea.</t>
  </si>
  <si>
    <t xml:space="preserve">NBEk 43.000 milioi euro eskatu ditu datorren urtean laguntza humanitarioa bermatzeko. Gai Humanitarioak Koordinatzeko Nazio Batuen Bulegoak azaldu du 2024an ia 300 milioi lagunek beharko dutela laguntza; batez ere, Ekialde Hurbilean, Ukrainan eta Sudanen.</t>
  </si>
  <si>
    <t xml:space="preserve">OCHAk, Gai Humanitarioak Koordinatzeko Nazio Batuen Bulegoak, datorren urtea txarra izango dela dio alor humanitarioari dagokionez, batez ere Ekialde Hurbilean, Ukranian eta Sudanen. Alde batetik, hainbat krisi mota okerrera egiten ari omen dira; gatazkak, klima larrialdia eta krisi ekonomikoak, besteak beste. Bestetik, OCHAri falta zaizkio laguntza humanitarioa bermatzeko baliabideak. Izan ere, krisi humanitarioei aurre egiteko finantziazio beharrak handiago egiten diren bitartean, OCHAk jasotzen duen diru kopurua gero eta murriztuagoa da. Martin Griffithsek, NBEaren Giza Gaietarako idazkariorde nagusiak, oharatarazi du laguntza humanitario horren ezean, jendeak bere bizitzarekin ordainduko duela. Horregatik 43.000 milioi euro eskatu dizkio nazioarteari. </t>
  </si>
  <si>
    <t xml:space="preserve">https://www.berria.eus/kultura/umeak-amari-eman-dio-bidea_2124508_102.html</t>
  </si>
  <si>
    <t xml:space="preserve">Itsaso amniotikoa (Elkar) poema liburuaren muinak Karmele Igartua sormen beka jaso zuen 2022ko abenduan, Idazle Eskolak eta Aretxabaletako Udalak antolatutako ekinaldiaren 12. aldian, hain zuzen. Oihane Jaka Irizarrek (Donostia, 1985) urtebeteko epea izan du geroztik, muin hori osatzeko eta umotzeko. Tere Irastorza poeta eta Idazle Eskolako irakaslea izan du bidaide.
Jakaren «minimalismoa» aipatu du Irastorzak: «Oso gauza gutxirekin egin du dena, eta formaren aldetik oso elementu sinpleekin egiten du jolas». Elementuen artean garrantzitsuena, hizkuntza bera: «Batzuek horri hitz-joko esaten diote, baina, ene ustez, pentsamendu haziak dira. Amatu eta asmatu. Ez dakit sekula asmatuko dugun ama garenok ama izaten. Horrelako asko dago».
Liburu gisa, hiru zatitan dago egituratuta: 11 urte, 11 hilabete eta 11 egun, hurrenez hurren. Eta hor ere bada hizkuntzaren jokorik, 11 horiek zehaztasunaren ezaugarri guztiak hartzen baitituzte, baina indeterminazioaren antzik galdu gabe, alegia, hamaika edo asko izateari utzi gabe.
Itsaso amniotikoa-k ama izateari heltzen dio. Amatasuna eta sena ageri dira, betiere idazlearen eta bere inguruaren ikuspegitik: «Hor esandako guztia ez zait niri gertatu, baina esandako guztiaren jabe naiz». Jaka amatasunaz harago doa, halere. Ama izango den horrek lehen izandako umeari begiratuko baitio, bai eta ondoren helduko direnei ere: «Poema batean diot zuhaitzaren adarraren azken puntan nagoela ni, eta nork ekarri nauen, lekukoa nori emango diodan edota adarra noraino iritsiko ote den ari naizela galdezka». Ume izan zen horrek, hain zuzen, aita galdu zuen 11 urte zituela, eta zorigaitz erabakigarria izan zen bere bizitzan, nola liburuan ere. Heriotzak zipriztindutako haurtzarotik bizitza berri baten sortzera igaroko da poeta Itsaso amniotikoa liburuan, tartean bi trantsizio direla: batetik, heriotzatik bizitzarakoa, eta, bestetik, alabaren bizipenetatik amarenetarakoa.
«Poema batean diot zuhaitzaren adarraren azken puntan nagoela ni, eta nork ekarri nauen, lekukoa nori emango diodan edota adarra noraino iritsiko ote den ari naizela galdezka».OIHANE JAKA IRIZARIdazlea
Liburua zeharkatzen duen gai osagarria galera da. Hiru ataletan ageri da; ez da, ordea, galera bera hiruretan. Lehen atalean, 11 urte, heriotzaz ari da. 11 hilabete atalean haurdunaldiari buruzko poemak batu ditu, eta, hor, jaioko ez den haurra da galera. 11 egun atalak, berriz, erditzeari eta erditze ondoko egunei heltzen die, eta, kasu horretan, beteko ez diren desioak dira galdutakoa. Hirugarrena da atalen artean mardulena. Hainbat gai aipatzen dira: erditzea, erdiondoko oinazea, ondorio fisiko eta emozionalak, edoskitzea, matrioxkaren segidan non kokatu eta beste.
Zuhaitza eta matrioxka
Bi metafora nagusi baliatu ditu Jakak. Bata zuhaitzaren uztaia da. Irastorza: «Gorantz hazten ikusten ditugu zuhaitzak, baina biribilean ere hazten dira». Bigarren metafora matrioxka da. Eta horrek ere zuhaitzarekin egiten du bat: «Goitik begiratuta, zuhaitz bat baita matrioxka, baina emakume figura gabe».
Irastorzak eboluzioa ikusi dio behinola Idazle Eskolan ikasle izan zuenari: «Hasieran biologoa zela ikusten nuen, eta orain ikusten dut badela natura bat, eta badagoela mekanika bat, erditu gabe ama izaten asmatze bat». Izan ere, Biologian doktore eta zientziari estuki lotua da Oihane Jaka, baina literaturarako eta bereziki poesiarako zaletasuna betidanikoa du. Nerabe zela hasi zen idazten: «Noizik eta behin egiten nuen, eta gauza solteak idazten nituen». Doktoretza bukatuta, Idazle Eskolan eman zuen izena, poesia landuko zuela jakitun. «Ordura arte, bakarka aritu nintzen beti, eta ezjakintasun sentsazioz egiten nuen. Irastorzaren klaseek mundu bat zabaldu zidaten, oso inspiratuta ateratzen nintzen haren klaseetatik, eta ikaskideekin aritzea ere oso aberasgarria izan zen».
Itsaso amniotikoa poema liburuaren harira, Karmele Igartua bera ekarri du gogora Tere Irastorzak: «Amaiera on bat hasiera bat dakarrena dela esaten zuen hark, eta horretara bete-betean dator liburu hau, Oihane Jaka berriz ere idazten eta sortzen hasteko prozesuan jartzen baitu».</t>
  </si>
  <si>
    <t xml:space="preserve">Umeak amari eman dio bidea. Aita galdu duen ume baten minetik abiatu, eta ama bihurtu den alaba baten bidaia dakar Oihane Jaka Irizarren lehen literatur lanak: 'Itsaso amniotikoa'.</t>
  </si>
  <si>
    <t xml:space="preserve">Oihane Jaka Irizarrek 'Itsaso amniotikoa' bere lehenbiziko poema liburua kaleratu du, 2022an jaso zuen Karemele Igartua sormen bekari esker eta Tere Irastorza Idazle Eskolako bere irakaslearen laguntzarekin. Izan ere, liburu honetan Jakak amatasuna du ardatz nagusi eta beste hainbat gai hausnartzen ditu, hala nola heriotza, haurdunaldia, erditzea, edota erdiondoko prozesua. Metaforari dagokionez, bi nagusi baliatu ditu Jakak; bata zuhaitzaren uztaia da da, eta bestea matrioxka. Liburua hiru zatitan banatuta dago (11 urte, 11 hilabete, eta 11 egun) eta zehaztasuna eta indeterminazioaren arteko jolasa ere egiten du hamaikaren bi esanahiarekin. Irastorzaren arabera, eboluzio handi ikusi diola Jakari, behinola Idazle Eskolan hasi zen biologoa zenetik oraingo poeta iristera.
</t>
  </si>
  <si>
    <t xml:space="preserve">https://www.berria.eus/euskal-herria/pintaketa-faxistak-egin-dituzte-irunean_2124262_102.html</t>
  </si>
  <si>
    <t xml:space="preserve">Bart gauean pintaketa faxistak egin dituzte Iruñeko Alde Zaharrean; hain zuzen, San Frantzisko plazan eta inguruetan. Erorien Monumentuaren aldeko mezuak pintatu dituzte nagusiki. Azken asteetan hainbat protesta egin dira, monumentu hori eraitsi dezatela eskatzeko, eta faxistek Los caidos no se tocan (eroriak ez dira ukitzen) eta gisako mezuekin erantzun dute. Svastikak, Daviden izarrak eta beste ikur faxista batzuk ere marraztu dituzte.
EH Bilduren egoitzaren kanpoaldean ere hainbat ikur faxista margotu dituzte, eta Asiron narizon (Asiron sudur handi) ipini dute svastiken eta Daviden izarren artean. EH Bilduk irmoki salatu ditu bere egoitzan azaldutako pintaketa horiek. «Faxistei ez diegu utziko gure bizitzak eta erabakiak baldintzatzen. Konpromiso osoa dugu bizikidetza eta memoria demokratikoarekin».
Irmoki salatzen ditugu gure egoitzan azaldutako margoketak.
— EHBildu Iruñea (@ehbilduirunea) April 25, 2024
Faxistei ez diegu utziko gure bizitzak eta erabakiak baldintzatzen. Konpromiso osoa dugu bizikidetza eta memoria demokratikoarekin. pic.twitter.com/nOB6PpczHw</t>
  </si>
  <si>
    <t xml:space="preserve">Pintaketa faxistak egin dituzte Iruñean. Iruñeko Alde Zaharrean pintaketa faxistak agertu dira gaur goizean. Ikur faxistak eta Erorien Monumentuaren aldeko mezuak pintatu dituzte.</t>
  </si>
  <si>
    <t xml:space="preserve">Bart gauen pintaketa faxistak egin dituzte Iruñeko Alde Zaharrean eta EH Bilduren egoitzean. Erorien Monumentua eraisteko protesten erantzun gisa, monumentuaren aldeko mezuak, svastikak, eta Daviden izarrak pintatu dituzte, besteak beste. EH Bilduk, aldiz, irmoki salatu du erasoa.</t>
  </si>
  <si>
    <t xml:space="preserve">https://www.berria.eus/ekonomia/eolikoen-arlorako-laguntzetan-orain-halako-bi-jarriko-du-ebk-1400-milioi_1343992_102.html</t>
  </si>
  <si>
    <t xml:space="preserve">Europako industria eolikoko hiru ekoizle handiek (Siemens Gamesa, Vestas eta Nordex) galera handiak dituzte, baina, azkenik, etorri zaie arnasa Bruselatik. Europako Batzordea prest da laguntzetan lehen halako bi emateko; baina, horrez gain, proiektuak bizkorrago zabaltzeko, tramiteak arintzeko eta kanpoko lehiakideen praktikak zaintzeko neurriak prestatu ditu.
Kadri Simson Energia komisarioaren arabera, bide luzea geratzen da berriztagarrien hedatzean, eta sektoreari ekarpen handia egitea dagokio: «Baina posizio irmo bat izanez gero soilik egin dezake hori. Baldintzak sortu behar dira sektore eolikoa indartzeko, eta laguntza planak hori hauspotuko du».
Siemens Gamesarentzat berandu izan liteke. Azaroaren 21ean bideragarritasun plana aurkeztuko du enpresak, eta sindikatuak oso kezkatuta daude orain arte zabaldutako informazioekin. Konpainia horrek 2.800 laguni ematen die lana Hego Euskal Herrian.
Enpresek nolako zailtasunak dituzten ikusirik, Batzordeak atzeman dituen arazoetako bat da ekoizleak ez daudela oso babestuta inflazio handitik eta lehengaien garestitzetik. Hain zuzen, Asiako lehiakideak, batik bat Txinakoak, lehengaien hornitzaile dira, eta estatuaren finantza babesa dute. Horri esker, abantaila atera dezakete. Izan ere, parke eolikoen enkanteetan preziorik merkeenak lehenesten dira, eta txinatarrek baliatu egiten dute hori.
Gida bat martxorako
Batzordea saiatuko da enkante horiek sinplifika daitezen, eta ez daitezen oinarritu preziorik merkeenean. «Helburua da prezioan oinarritzen ez diren irizpideak bultzatzea eta balio erantsi handiko industria berritzaile eta lehiakorra sostengatzea». Enkanteen diseinuak Europa osoan bateragarriak izatea ere nahi du, eta, irizpideen artean, aintzat hartu nahi dituzte iraunkortasuna eta segurtasun zibernetikoa. Batzordeak elkarrizketak bultzatuko ditu herrialdeen eta industriako eragileen artean, enkante horien irizpideak hitzartzeko.
Gainera, Bruselaren asmoa da atzerriko lehiakideei mesede egiten dieten «merkataritza praktika bidegabeak» zaintzea. «Halakorik baldin bada, merkataritza defentsarako instrumentuak aktibatuko ditu batzordeak».
Simsonek azaldu du EIB Europako Inbertsio Bankuak bermeak handituko dituela, «sektoreak baldintza hobeagoko maileguetara jo ahal izateko». Teknologia berdeen proiektuak finantzatzeko, berriz, Berrikuntzarako Funtserako «orain halako bi» jarriko dute: 1.400 milioi euro.
Baimenak, azkarrago
Bruselak atzeman duen beste arazo nagusia da Europako ekoizpen ahalmena «gutxiegi» erabiltzen dela proiektuekin ziurgabetasuna dagoelako. Industriak kalkulatu du 80 gigawatteko potentzia ahalmena duten proiektuak ez aurrera ez atzera daudela, baimenak lortzeko tramite luzeen ondorioz. Prozedurak azkartzeko, Accelere-RES programa jaulkiko dute. Urte amaierarako, estatu kideei laguntzeko online erreminta bat jarriko du abian, eta, apirilerako, energia berriztagarrien proiektuak azkarrago tramitatzeko gida prozedura eguneratu. Halaber, sektoreari ziurtasuna emateko asmoz, EBko kideei eskatuko zaie zehaztu dezatela zer asmo dituzten legediari eta proiektu eolikoen zabaltzeari begira.
Itsasoko proiektu eolikoak ere bizkortu nahi ditu Bruselak, «ezinbestekoa izango baita deskarbonizaziorako beharrezkoa izango den energia iturrien nahasketan». 2022ra arte, EBn 16,3 gigawatteko potentzia ahalmeneko proiektuak zeuden ezarrita, eta 111 gigawatt ezartzeko konpromisoa hartua dute herrialdeek: «Tarte hori betetzeko, urtean hamabi gigawatt ezarri beharko lirateke; iaz 1,2 gigawatt instalatu zirela jakinda, hamar aldiz gehiago, alegia».
EBn kontsumitzen den energiaren %16 eolikoa da, batez beste, eta egun askotan ia herena ere izaten da. 250 fabrika daude EBn, eta 42.000 milioi euro inguruko ekarpena egiten diote Europako barne produktu gordinari. Halaber, 300.000 enplegu kualifikatu ditu sektoreak.</t>
  </si>
  <si>
    <t xml:space="preserve">Eolikoen arlorako laguntzetan orain halako bi jarriko du EBk: 1.400 milioi. Europako Batzordeak enkanteak erraztu nahi ditu, eta prozedurak azkartu, bertako ekoizleei laguntzeko Txinako lehiakideei aurre egiten</t>
  </si>
  <si>
    <t xml:space="preserve">Europako industria eolikoak dituen galera handiak ikusita, Europako Batzordeak babesteko neurriak hartuko ditu. Ekoizleek galerak dituzte ez omen baitaude babestuta inflaziotik eta lehengaien garestitzetik, bere atzerriko lehakideak ez bezala. Txinako lehiakideek, adibidez, estatuaren babesa dute eta abantaila atera dezakete parke eolikoen enkanteetan, prezio merkeenak lehenesten baitira.
Egoera hau hobetzeko, batzordeak teknologia berderako inbertsioa bikoiztuko du eta enkanteen irizpideak aldatzen saiatuko da, Europa osoan bateragarriak izan daitezen, eta preziorik merkeenean oinarritu ordez, iraunkortasuna eta segurtasun zibernetikoa kontuan hartu ditzaten. Halaber, atzerriko lehiakideen merkataritza praktika bidegabeak zaindu eta Europako eoliko sektoreko maileguen baldintzak hobetuko ditu. Gainera, proiektu eolikoak garatzeko burokrazia arinduko du eta EBko kideei eskatuko die proiektu eolikoen inguruan zer asmo daukaten zehazteko, ziurtasun gehiago lortzeko helburuarekin.</t>
  </si>
  <si>
    <t xml:space="preserve">https://www.berria.eus/kultura/itsasun-egingo-dute-irailekoak-poesia-jaialdia-aurten_2125293_102.html</t>
  </si>
  <si>
    <t xml:space="preserve">Hamabost urteko ibilbidearen ondoren, 2018an eman zituzten bukatutzat Eako Poesia Egunak. Ean (Bizkaia) egiten zituzten uztailero, eta Herriari Emon Arnasa elkartea arduratzen zen haiek antolatzeaz. Hutsune hori ikusirik, Irailekoak izeneko poesia jaialdia jarri zuen martxan iaz Euskaltzaindiak. Hasieratik iragarri zutenez, ordea, ez dute festibala urtero leku berean egiteko asmorik, eta, horregatik, Itsasun (Lapurdi) egingo dute aurtengoa.
Egun eta erdiko programa izango dela aurreratu dute oraingoz. Irailaren 28an, egun osoz, eta irailaren 29an, goizez. Euskal poeten lana gizarteratzea da helburua, baina nazioarteko poetak ere izango direla esan dute.
Poemak erakusleihoetan
Hitzaldiak eta irakurraldiak izango direla ere azaldu dute, baina irailean emango dute programa zehatzaren berri. Oraingoz, Itsasun poesiari «presentzia handiagoa» emateko, hainbat poetaren bertso lerroz jantziko dituzte herriko erakusleihoak. Tartean, Forugh Farrokhzad, Anne Sexton, Jose Luis Otamendi, Miren Agur Meabe, Aurelia Arkotxa, Bernardo Atxaga, Raymond Carver, Angel Erro, Castillo Suarez, Itxaro Borda, Jon Gerediaga eta Alejandra Pizarnik-en bertsoak erakutsiko dira.
Oraingoan, Itsasuko Herriko Etxearekin, Euskal Kultur Erakundearekin eta Euskararen Erakunde Publikoarekin elkarlanean antolatu du egitaraua Euskaltzaindiak.</t>
  </si>
  <si>
    <r>
      <rPr>
        <sz val="9"/>
        <color rgb="FF000000"/>
        <rFont val="Arial"/>
        <family val="0"/>
        <charset val="1"/>
      </rPr>
      <t xml:space="preserve">Itsasun egingo dute Irailekoak poesia jaialdia aurten. </t>
    </r>
    <r>
      <rPr>
        <strike val="true"/>
        <sz val="9"/>
        <color rgb="FF000000"/>
        <rFont val="Arial"/>
        <family val="0"/>
        <charset val="1"/>
      </rPr>
      <t xml:space="preserve">Lekeition</t>
    </r>
    <r>
      <rPr>
        <sz val="9"/>
        <color rgb="FF000000"/>
        <rFont val="Arial"/>
        <family val="0"/>
        <charset val="1"/>
      </rPr>
      <t xml:space="preserve"> egin zuten lehen edizioa iaz, eta Lapurdira eraman dute orain programa. Euskaltzaindia da antolatzailea, eta irailean emango du programa zehatzaren berri.</t>
    </r>
  </si>
  <si>
    <t xml:space="preserve">Aurtengo Iralekoak poesia jaialdia Itsasun (Lapurdi) ospatuko da irailaren 28 eta 29an. 2018an Eako Poesia Egunak bukatutzat eman ondoren, Irailekoak poesia jaialdia martxan jarri zuen Euskaltzaindiak, Euskal poeten lana gizarteratzeko asmoarekin. Hitzaldi eta irakurraldiak izateaz gain, herriko erakusleihoak hainbat poetaren bertso lerroz apainduko dituzte.</t>
  </si>
  <si>
    <t xml:space="preserve">https://www.berria.eus/kultura/nolabaiteko-kontrarreforma-bat-gertatzen-ari-da-eta-horren-aurrean-elkartu-beharra-daukagu_2124481_102.html</t>
  </si>
  <si>
    <t xml:space="preserve">Haizea kontra dutelako sentitu dute indarrak batzeko beharra. «Kontrarreforma bat» aipatu du Joxemari Karrere Zabala ipuin kontalari, aktore eta Euskal Idazleen Elkarteko ordezkariak (Pasai Donibane, Gipuzkoa, 1963), eta, dioenez, hain justu horrek bultzatuta berreskuratu dituzte Galeusca topaketak, hamar urteko etenaren ostean. Katalanezko Idazleen Elkarteak, Galizierazko Idazleen Elkarteak eta Euskal Idazleen Elkarteak antolatzen dituzte, eta hiru literaturen arteko zubiak indartzea da asmoa. Egun beteko programa antolatu dute horretarako, maiatzaren 29an, Palman (Balearrak), eta itzulpengintza izango dute ardatz.
Zergatik utzi zitzaion topaketak egiteari?
Zirkunstantzia asko izan dira. Goraldiak eta beheraldiak izaten dira halakoetan, eta Galeusca nahiko lo geratu zen momentu batean.
Eta zerk bultzatu zaituzte proiektuari berrekitera?
[Espainiako] Estatuan egin da idazleen elkarteen arteko konferentzia bat, idazleen eskubideak eta bestelakoak lantzeko. Eta han ikusi genuen aukera ona zela Galeuscari berrekiteko, zeren eta halako gauzetan, artistaren estatutua eta bestelakoak lantzen direnean, gure hizkuntzak eta gure kulturak bigarren mailan geratzen dira beti. Horretaz gainera, bai euskararen, bai katalanaren eta bai galizieraren aurkako eraso judizialak ere izaten ari dira. Beharbada ez dira literaturaren aurkako zuzeneko erasoak, baina bai hizkuntzaren aurkakoak, eta, horregatik, erabaki genuen berriro elkartzea, eta gure literatura nazionalak, kulturak eta hizkuntzak elkarlanean jartzea. Estatuan proposatzen diren aldaketetan ahots bakarra lortzea da beste helburua, gu ere kontuan har gaitzaten, adibidez, artisten estatutuari edo eskubide digitalei buruzko eztabaidetan. Gure errealitatea eta ditugun baliabideak kontuan hartu behar direlako aldaketa prozesu horietan guztietan.
«Estatuan proposatzen diren aldaketetan ahots bakarra lortzea da beste helburua, gu ere kontuan har gaitzaten, adibidez, artisten estatutuari edo eskubide digitalei buruzko eztabaidetan»
Atzeraldi baten beldurra edo mehatxua dago topaketen atzean, beraz?
Nolabaiteko kontrarreforma bat gertatzen ari da. Urrats batzuk egin dira azken 40 urteotan, eta orain kontraeraso bat dago. Egon diren azken epaietan ikusten da hori Euskal Herrian, eta Valentzian ere atzeraldi bat ikusten da, eta Mallorcan. Bideak ixten ari dira berriz, eta gure hizkuntzak bigarren mailan uzten dituzte. Hori da Eduardo Galeanok esaten zuena: halako estatu handiek dituztela literatura eta kultura, eta guk daukagula folklorea, eta horren aurrean elkartu beharra daukagu.
Manifestu bat irakurriz hasiko dituzue maiatzaren 29ko topaketak. Zer dio testu horrek?
Justu aurten betetzen dira 40 urte idazleen hiru elkarteok antolatutako lehen Galeusca egin zela, 1984an. Pobleteko manifestua deitu zena sinatu zen orduan, eta pentsatu genuen aukera ona zela halako manifestu bat sortzea, eguneratua eta egungo egoerari begirakoa, Galeuscaren berpiztea eta indartzearen zergatiak azalduz.
Itzulpengintza izango da topaketen ardatza.
Itzulpengintza funtsezkoa da gure literaturentzat: kanpoko literatura gurean ezagutzeko, bai eta gurea kanpoan ezagutarazteko ere.
Muga administratiboak gainditzeko modu bat ere badela aipatu duzue topaketen deialdian.
Galeusca gure arteko ezagutza sustatzeko esparru bat ere bada. Askotan ez dugu ia ezagutzen katalanek edo galegoek zer egiten duten, eta haiek ere ez guk zer egiten dugun. Gaztelaniaren bitartez ezagutzen ditugu hango autoreak, baina ez dakigu nola dagoen gaur egun Kataluniako literatura, eta zer arazo administratibo edo fiskal dituzten, adibidez. Nahiz eta, azkenean, guztiok dauzkagun arazo antzekoak.
«Madrilek jarraitzen du gune erreferentziala izaten, edo Parisek, baina ez Santiagok, ez Bartzelonak ere. Koherenteak izan behar dugu aldarrikatzen dugunarekin. Ez gara periferia; zentraltasuna gu gara»
Nola dago hiru literaturen arteko harremana egun? Zubiak ahuldu al ditu hamar urteko etenaldiak?
Hori izan da Galeusca berreskuratzeko beste arrazoietako bat. Hainbat lekutan egin ziren topaketak, eta hainbat gai landu genituen. Hitzaldiak izaten ziren, eta irakurketak, baina batez ere topaketa izaten ziren, eta idazleak ezagutzen genituen horri esker, gazteak zein zaharragoak. Elkar ezagutzen genuen horri esker, eta harremanetarako bidea ematen zuen horrek. Baina hori pixka bat galdu egin da. Interesgarria da idazle gazteek literatura horietan ere erreferentziak izatea. 2020an, esaterako, Mariasun Landa idazlea izendatu zuten Idazle Galego Unibertsala, baina ez du oihartzun handirik izan, pandemia ere tartean zegoelako, besteak beste, baina horrek kezka pizten du. Madrilen sari bat ematen badute, hori bai, ateratzen baita leku guztietan. Madrilek jarraitzen baitu gune erreferentziala izaten, edo Parisek, baina ez Santiagok, ez Bartzelonak ere. Koherenteak izan behar dugu aldarrikatzen dugunarekin. Ez gara periferia; zentraltasuna gu gara.
Maiatzaren 29an, palman (Balearrak)</t>
  </si>
  <si>
    <t xml:space="preserve">«Nolabaiteko kontrarreforma bat gertatzen ari da, eta horren aurrean elkartu beharra daukagu». Hamar urteko etenaren ostean, berreskuratu egingo dituzte Galeusca topaketak. Maiatzaren 29an egingo dute aurtengoa, Palman. Zubiak berreskuratzeko beharra dagoela esan du Karrerek.</t>
  </si>
  <si>
    <t xml:space="preserve">Katalanezko, Galizierazko, eta Euskal Idazleen Elkarteek Galeusca topaketak berriro antolatuko dituzte, 10 urteko etenaren ostean. Egun beteko programa antolatu dute horretarako, maiatzaren 29an, Palman (Balearrak). Indarrak batzea dute helburu nagusi, batez ere hiru hizkuntzen aurkako eraso judizialak ikusita. Horrez gain, beste helburuak dira elkarren lan egiteko moduak eta arazoak ezagutzea eta hiru literaturen arteko harremana berpiztea. Horretarako, orain dela 40 urteko Galeuscan sinatutako manifestu eguneratu bat sortu eta irakurriko dute. Halaber, itzulpengintza izango dute ardatz topaketan, funtsezkoa baita haien literaturarentzat: bai kanpoko literatura ezagutzeko, bai barnekoa kanpoan ezagutarazteko.</t>
  </si>
  <si>
    <t xml:space="preserve">https://www.berria.eus/euskal-herria/ortuzarrek-dio-eajk-euskadiko-estatus-berriari-bultzada-eman-nahi-diola_2124257_102.html</t>
  </si>
  <si>
    <t xml:space="preserve">«Euskadiko estatus berriari bultzada» eman nahi dio EAJk datorren legegintzaldian. Hala aurreratu du Andoni Ortuzar EBBko lehendakariak, eta zehaztu urte eta erdian proposamen bat onduko dutela, eta sinetsita daudela bat etorriko direla EH Bildurekin eta PSE-EErekin.
Onda Vasca irratian egin ditu adierazpen horiek, eta baieztatu du estatus politiko berri baterantz aurrera egiteko baldintzak badaudela; kontuan hartuta Pedro Sanchez Espainiako Gobernuko presidentearekin akordio bat egin zutela Gernikako Estatutuaren aplikazioari buruz. «Baikorra naiz hori izango delako EAJk legegintzaldi honetan emango dituen pausoetako bat», borobildu du. Elkarrizketan galdetu diote jeltzaleak «erradikaltasunean» eroriko ote diren, eta Ortuzarrek erantzun du EAJ ez dela «tentazioetan erortzen». Argudiatu du autogobernuari dagokionez «bide orri oso zehatza» eta «koherentea» dutela, koalizio subiranistaren lerro «kontraesanezkoaren» kontrara. «EH Bilduk autogobernuari buruz esan duena defendatuko badu, uste dut aukerak egongo direla herrialdeko hiru indar handien artean akordioak lortzeko», borobildu du.
Gobernua osatzeari dagokionez, zehaztu du EAJk sozialistekin duen akordioari eutsi gogo diola, eta espero du astelehenean hasiko den negoziazioa «ondo amaitzea». Bide horretatik, espero du ekainaren bigarren edo hirugarren astean Imanol Pradales hautagaia Ajuriaenean egotea. EH Bilduren emaitzez ere mintzatu da, eta «oso onak» direla erran du. Dena den, argi utzi du bigarren indarra direla: «Partidan ondo jokatuta ere, dagoen bitrinan dago kopa».
Arnaldo Otegi EH Bilduko koordinatzaile nagusiak adierazpen horiek hizpide izan ditu, eta argitu du «jendeak nahi duena errespetatzen» baldin bada «akordio bat posible» dela. «PSEko hamabi parlamentarik Eusko Legebiltzarreko 54 parlamentariren anbizio nazionala mugatuko dute?», galdetu du. Otegiren ustez, sozialistek ulertu behar dute Araban, Bizkaian eta Gipuzkoan herritarren %70ek «abertzaleen» alde bozkatu duela; EAJk, berriz, parlamentarien %40k «politika progresistagoak» nahi dituztela; eta EH Bilduk, bukatzeko, hori guztia «elkarrekin eraiki behar» dela, eta inor ez dela guztiz gustura egonen lortuko den horrekin.
Radio Euskadin egon da Otegi, eta orduan egin ditu adierazpen horiek. Ziurtatu du erabakitzeko eskubidea «adostasunez formulatzen» ari direla, eta koalizio abertzaleak ez duela «inolako eragozpenik». «Arazoa da beste aldean adostasunik nahi ez duen jendea badagoela, errespetatu nahi ez duena, baina nik uste dut arduratsuak izan ahal garela akordio bat egiteko; nazio baldintzetan herri hau beste aldi batean kokatzeko», zehaztu du. Bide horretatik, erran du EH Bildu «ziklo berri» batean sartu dela, eta beren eboluzioa «estrukturala» dela.
Otegik argitu du koalizio abertzalearen helburua agintean egotea dela, baina Araban, Bizkaian eta Gipuzkoan «inork» ezin duela bakarrik agindu. Hortaz, PSE-EEri eskatu dio «pauso etiko bat» emateko akordioak egin ditzaten. Legebiltzarreko Mahaiaz ere mintzatu da, eta EH Bilduri bi eserleku dagozkiola erran du: «Baina bat emango digute, pentsatzen dut». Erabaki hori «legitimoa» dela uste du, baina «ez oso demokratikoa».
Sumar
Bien bitartean, Sumarrek jakinarazi du Araba, Bizkai eta Gipuzkoarako estatutu berri bat defendatuko duela, zeinak eskubide sozialen alde eginen duen, horien «nazio izaera» aitortuko duen eta «herritarren aniztasuna kohesionatuko» duen. Koalizioaren ustez, itun horrek «estatutuan eskubide sozialak blindatzea» ziurtatu behar du, eta «gizonen eta emakumeen arteko berdintasunaren, giza eskubideen, arrazismoaren eta LGTBI+ komunitateko kideen eskubideen zentraltasuna» azpimarratu, «eta memoria demokratikoarena ere bai».
Hori guztia lortzeko, Sumarrek proposatzen du botere publikoen jarduteko gaitasuna indartzea, euskara ikastea doakoa izan dadin ziurtatzea eta etxebizitza, osasuna, hezkuntza, zaintza, elikadura segurtasuna eta halako eskubide subjektiboak gauzatzea. Horrez gain, koalizioak planteatu du «Euskadiren nazio izaera aitortzen duen eta herritarren aniztasuna bizikidetza zibikoaren eta inklusiboaren esparruan kohesionatzen duen herri proiektu bat diseinatzea».</t>
  </si>
  <si>
    <t xml:space="preserve">Ortuzarrek dio EAJk «Euskadiko estatus berriari bultzada» eman nahi diola. Jeltzaleek sinesten dute EH Bildurekin eta PSE-EErekin ados jarriko direla. Otegik argitu du «jendeak nahi duena errespetatzen» baldin bada «akordio bat posible» dela.</t>
  </si>
  <si>
    <t xml:space="preserve">Euskadiko estatus berri baten proposamen bat landu nahi du EAJk eta datorren legegintzaldian prest egotea espero dute. Andoni Ortuzar EBBko lehendakariaren arabera, momentu on bat da, Pedro Sanchez Espainiako Gobernuko presidentearekin akordio bat egin zutelako Gernikako Estatutuaren aplikazioari buruz. Horretarako, akordio bat lortu nahi dute EH Bildu eta PSE-EErekin. Arnaldo Otegi EH Bilduko koordinatzaile nagusiak azpimarratu du posible dela akordio bat lortzea, erabakitzeko eskubidea errespetatzen baldin bada eta PSE-EE gutxiengoa denez Eusko Legebiltzarrean, ezin dutela abertzaleen alde bozkatu zuten beste %70ren anbizio nazionala mugatu. Sumarrek, berriz, eskubide sozialen aldeko estatutu berri bat defendatzen du, hego euskal herriaren nazio izaera eta herritarren aniztasuna ere aitortuko lituzkeena.</t>
  </si>
  <si>
    <r>
      <rPr>
        <sz val="9"/>
        <color rgb="FFB7B7B7"/>
        <rFont val="Arial"/>
        <family val="0"/>
        <charset val="1"/>
      </rPr>
      <t xml:space="preserve">Ikusten dut elkarrizketa interesgarri bat dela Unai Laso pilotariarekin, non bere itzulera eta egungo egoera aztertzen diren. Laburpen bat egingo dizut:
</t>
    </r>
    <r>
      <rPr>
        <sz val="9"/>
        <color theme="1"/>
        <rFont val="Arial"/>
        <family val="0"/>
        <charset val="1"/>
      </rPr>
      <t xml:space="preserve">
Unai Lasok Labriten Joanes Bakaikoari 22-9 irabazi zion buruz buruko final-zortzirenetako partidan, ia urtebeteko geldialdi baten ondoren. Partida berezia izan zen berarentzat, etxean jokatu zuelako eta senitarteko zein lagun asko izan zituelako animatzen.
Elkarrizketan zehar hainbat gai garrantzitsu aipatzen ditu:
1. Bere osasun egoera: Ebakuntza izan eta gero hobera doa, baina oraindik astero joaten da </t>
    </r>
    <r>
      <rPr>
        <sz val="9"/>
        <color rgb="FFFF0000"/>
        <rFont val="Arial"/>
        <family val="0"/>
        <charset val="1"/>
      </rPr>
      <t xml:space="preserve">fisioterapeutara</t>
    </r>
    <r>
      <rPr>
        <sz val="9"/>
        <color theme="1"/>
        <rFont val="Arial"/>
        <family val="0"/>
        <charset val="1"/>
      </rPr>
      <t xml:space="preserve"> eta mugikortasuna berreskuratzen ari da.
2. Bere jokoa: 
- Hobetu du: Eskuinarekin gozatzeko gaitasuna
- Hobetzeko du: Frontoian mugitzeko abiadura
- Partidaren alderdi positiboak: Defentsa, ezker kolpea eta errestoa
- Hobetzeko: Sakea
3. Hurrengo erronka: Jokin Altunaren aurka jokatuko du ligaxkan. Gogotsu dago partida horretarako eta badaki bete-betean jokatu beharko duela irabazteko.
4. Helburuak: Lesiorik ez izatea eta partidaz partida joatea, gozatuz eta borrokatuz.
</t>
    </r>
    <r>
      <rPr>
        <sz val="9"/>
        <color rgb="FFB7B7B7"/>
        <rFont val="Arial"/>
        <family val="0"/>
        <charset val="1"/>
      </rPr>
      <t xml:space="preserve">Lasok jarrera positibo</t>
    </r>
    <r>
      <rPr>
        <sz val="9"/>
        <color rgb="FFFF0000"/>
        <rFont val="Arial"/>
        <family val="0"/>
        <charset val="1"/>
      </rPr>
      <t xml:space="preserve">a</t>
    </r>
    <r>
      <rPr>
        <sz val="9"/>
        <color rgb="FFB7B7B7"/>
        <rFont val="Arial"/>
        <family val="0"/>
        <charset val="1"/>
      </rPr>
      <t xml:space="preserve"> eta errealistarekin hitz egiten du, bere egoeraren jakitun da eta pausoz pauso hobetzeko gogoarekin ari da lanean.</t>
    </r>
  </si>
  <si>
    <r>
      <rPr>
        <sz val="9"/>
        <color rgb="FFB7B7B7"/>
        <rFont val="Arial"/>
        <family val="0"/>
        <charset val="1"/>
      </rPr>
      <t xml:space="preserve">Testuaren edukirik garrantzitsuena laburtuko dut:
</t>
    </r>
    <r>
      <rPr>
        <sz val="9"/>
        <color theme="1"/>
        <rFont val="Arial"/>
        <family val="0"/>
        <charset val="1"/>
      </rPr>
      <t xml:space="preserve">
Unai Laso pilotaria buruz buruko txapelketara itzuli da </t>
    </r>
    <r>
      <rPr>
        <strike val="true"/>
        <sz val="9"/>
        <color theme="1"/>
        <rFont val="Arial"/>
        <family val="0"/>
        <charset val="1"/>
      </rPr>
      <t xml:space="preserve">ia urtebeteko lesio baten ondoren</t>
    </r>
    <r>
      <rPr>
        <sz val="9"/>
        <color theme="1"/>
        <rFont val="Arial"/>
        <family val="0"/>
        <charset val="1"/>
      </rPr>
      <t xml:space="preserve">. </t>
    </r>
    <r>
      <rPr>
        <strike val="true"/>
        <sz val="9"/>
        <color theme="1"/>
        <rFont val="Arial"/>
        <family val="0"/>
        <charset val="1"/>
      </rPr>
      <t xml:space="preserve">Bere lehen partidan</t>
    </r>
    <r>
      <rPr>
        <sz val="9"/>
        <color theme="1"/>
        <rFont val="Arial"/>
        <family val="0"/>
        <charset val="1"/>
      </rPr>
      <t xml:space="preserve"> Joanes Bakaikoari 22-9 irabazi zion Labriten. Lasok adierazi du oraindik ez dela bere maila onenera iritsi, baina pixkanaka hobera doala, batez ere eskuinarekin jokatzerakoan. Bere hurrengo erronka Jokin Altunaren aurkako partida da Bilbon, eta nahiz eta aurkari gogorra izan, konfiantza du bere buruarengan eta bete-betean jokatzeko gai dela uste du.
Pilotariak argi utzi du bere helburua dela minik ez hartzea, partidaz partida joatea eta txapelketan gogor borrokatzea. Lesiotik bueltan, oraindik baditu hobetzeko arloak (adibidez, kantxan mugitzea), baina positibo dago bere bilakaerarekin eta txapelketarako prestaketarekin.</t>
    </r>
  </si>
  <si>
    <t xml:space="preserve">Testua 5W1H metodoarekin aztertuko dut:
ZER:
- Unai Laso pilotariari egindako elkarrizketa bat da
- Buruz buruko txapelketara itzuli da lesio luze baten ondoren
- Joanes Bakaikoari 22-9 irabazi zion final-zortzirenetako partidan
- Hurrengo partida Jokin Altunaren aurka jokatuko du Bilbon
NORK:
- Protagonista nagusia: Unai Laso pilotaria
- Aipatutako beste pilotariak: Joanes Bakaikoa eta Jokin Altuna
- Lasoren jarraitzaileak: senitartekoak, herriko eta Iruñeko kuadrillakoak
NOIZ:
- Elkarrizketa duela bi asteko partidaren ondoren egin da
- Ia urtebete egon da buruz buruko txapelketatik kanpo
- 2022an Bilbon irabazi zion Altunari finalerdietan
NON:
- Azken partida Labriten jokatu zen
- Hurrengo partida Bilbon jokatuko da
- Laso Bizkarreta-Gerendiain (Nafarroa) herrikoa da
ZERGATIK:
- Lesio luze batetik errekuperatu da (aldakako ebakuntza)
- Txapelketara itzuli nahi zuen gogoz eta ilusioz
- Bere joko-maila berreskuratu eta hobetu nahi du
NOLA:
- Fisioterapiarekin eta entrenamendu espezifikoekin errekuperatu da
- Binakako txapelketa erabili du erritmoa hartzeko
- Teknika landu du gehien, bereziki sakea
- Partidan eskuinarekin gozatzen eta defentsan aritu zen ondo</t>
  </si>
  <si>
    <r>
      <rPr>
        <sz val="9"/>
        <color theme="1"/>
        <rFont val="Arial"/>
        <family val="0"/>
        <charset val="1"/>
      </rPr>
      <t xml:space="preserve">I'll help summarize this Basque language interview with pelota player Unai Laso. Here are the key points:
1. Laso has returned to individual competition (buruz buruko) after nearly a year away, winning </t>
    </r>
    <r>
      <rPr>
        <strike val="true"/>
        <sz val="9"/>
        <color theme="1"/>
        <rFont val="Arial"/>
        <family val="0"/>
        <charset val="1"/>
      </rPr>
      <t xml:space="preserve">his first match</t>
    </r>
    <r>
      <rPr>
        <sz val="9"/>
        <color theme="1"/>
        <rFont val="Arial"/>
        <family val="0"/>
        <charset val="1"/>
      </rPr>
      <t xml:space="preserve"> 22-9 against Joanes Bakaikoa.
2. He's coming back from a significant injury that required surgery and kept him sidelined for six months. He's still doing weekly physiotherapy but feels he's improving steadily.
3. He says he hasn't yet shown his full potential since returning, but is motivated by the room for improvement. His right-hand play has improved the most, though he feels he's still moving slower than he'd like to on the court.
4. His next match is against Jokin Altuna, which he acknowledges will be very challenging. They previously played in Bilbao where Laso won in 2022 (before becoming champion), but Altuna won their 2023 match 22-9.
5. His goals for the tournament are to stay injury-free, take it match by match, enjoy playing, and compete hard to win each game.
The interview shows a player who is cautiously optimistic about his return but realistic about the challenges ahead, focusing on gradual improvement rather than immediate results.</t>
    </r>
  </si>
  <si>
    <r>
      <rPr>
        <sz val="9"/>
        <color rgb="FFB7B7B7"/>
        <rFont val="Arial"/>
        <family val="0"/>
        <charset val="1"/>
      </rPr>
      <t xml:space="preserve">Testu hau aztertuko dut Kutxabankek jasangarritasunaren arloan egindako finantzaketari buruz:
</t>
    </r>
    <r>
      <rPr>
        <sz val="9"/>
        <color theme="1"/>
        <rFont val="Arial"/>
        <family val="0"/>
        <charset val="1"/>
      </rPr>
      <t xml:space="preserve">
Datu nagusiak:
- 2023an guztira 2.116 milioi euro bideratu zituen jasangarritasun proiektuetara
- Enpresentzako maileguak izan ziren zatirik handiena: 1.369 milioi euro
- Hipoteka Berdeetan 721 milioi euro eman zituen (%6,7ko igoera)
- Kontsumo kreditu jasangarrietan 25 milioi euro
Proiektu motak:
1. Enpresentzako finantzaketa:
- Energia berriztagarrien instalazioak
- Mugikortasun jasangarriko proiektuak 
- Etxebizitza energetikoki eraginkorren sustapena
2. Hipoteka Berdea:
- Energia ziurtagiri onena duten etxebizitzetarako
- Bankuaren hipoteka guztien %22 izan zen
- Baldintza bereziak eskaintzen ditu
3. Kontsumo kredituak:
- Aurreko urtearekin alderatuta bikoiztu egin dira
- Gehienbat auto elektriko eta hibridoak erosteko erabili dira
</t>
    </r>
    <r>
      <rPr>
        <strike val="true"/>
        <sz val="9"/>
        <color rgb="FF999999"/>
        <rFont val="Arial"/>
        <family val="0"/>
        <charset val="1"/>
      </rPr>
      <t xml:space="preserve">Argi ikusten da Kutxabankek apustu sendoa egin duela jasangarritasunaren alde, bai enpresa mailan zein partikularren mailan, finantzaketa lerro ezberdinak eskainiz.</t>
    </r>
  </si>
  <si>
    <r>
      <rPr>
        <sz val="9"/>
        <color theme="1"/>
        <rFont val="Arial"/>
        <family val="0"/>
        <charset val="1"/>
      </rPr>
      <t xml:space="preserve">Testuaren edukirik garrantzitsuena da Kutxabankek 2023an 2.116 milioi euro bideratu zituela </t>
    </r>
    <r>
      <rPr>
        <sz val="9"/>
        <color rgb="FFFF0000"/>
        <rFont val="Arial"/>
        <family val="0"/>
        <charset val="1"/>
      </rPr>
      <t xml:space="preserve">jasangarritasun-proiektuetara</t>
    </r>
    <r>
      <rPr>
        <sz val="9"/>
        <color theme="1"/>
        <rFont val="Arial"/>
        <family val="0"/>
        <charset val="1"/>
      </rPr>
      <t xml:space="preserve">, hiru arlo nagusitan banatuta:
1. Enpresentzako maileguak (1.369 milioi): energia berriztagarriak, mugikortasun jasangarria eta etxebizitza efizienteak.
2. Hipoteka Berdeak (721 milioi): energia-ziurtagiri oneneko etxebizitzentzat.
3. Kontsumo-mailegu jasangarriak (25 milioi): batez ere ibilgailu elektriko eta hibridoak erosteko.
</t>
    </r>
    <r>
      <rPr>
        <strike val="true"/>
        <sz val="9"/>
        <color theme="1"/>
        <rFont val="Arial"/>
        <family val="0"/>
        <charset val="1"/>
      </rPr>
      <t xml:space="preserve">Datu hauek erakusten dute Kutxabankek apustu garrantzitsua egin duela jasangarritasunaren alde bere finantzaketa-estrategian.</t>
    </r>
  </si>
  <si>
    <r>
      <rPr>
        <sz val="9"/>
        <color rgb="FFB7B7B7"/>
        <rFont val="Arial"/>
        <family val="0"/>
        <charset val="1"/>
      </rPr>
      <t xml:space="preserve">Analisia 5W1H metodoarekin:
</t>
    </r>
    <r>
      <rPr>
        <sz val="9"/>
        <color theme="1"/>
        <rFont val="Arial"/>
        <family val="0"/>
        <charset val="1"/>
      </rPr>
      <t xml:space="preserve">
ZER:
- Kutxabankek 2.116 milioi euro bideratu zituen jasangarritasun proiektuetara
- Dirua honela banatu zen:
  * 1.369 milioi enpresentzat
  * 721 milioi Hipoteka Berderako
  * 25 milioi kontsumo kreditu jasangarrietarako
NORK:
- Kutxabank bankua izan da ekimen honen sustatzailea
NOIZ:
- 2023. urtean zehar
- Hipoteka Berdearen kasuan, %6,7ko hazkundea izan zuen aurreko urtearekin alderatuz
NON:
- Kutxabankek bere jarduera-eremuan (ez da zehazki aipatzen testuan)
ZERGATIK:
- Jasangarritasuna sustatzeko
- Energia berriztagarriak, mugikortasun jasangarria eta eraginkortasun energetikoa bultzatzeko
NOLA:
- Hiru finantzaketa-tresna nagusiren bidez:
  * Enpresei maileguak emanez energia berriztagarri, mugikortasun jasangarri eta etxebizitza efizienteen proiektuetarako
  * Hipoteka Berdea eskainiz energia ziurtagiri onena duten etxebizitzetarako, baldintza berezietan
  * Kontsumo kreditu jasangarriak emanez, batez ere ibilgailu elektriko eta hibridoak erosteko</t>
    </r>
  </si>
  <si>
    <r>
      <rPr>
        <sz val="9"/>
        <color rgb="FF999999"/>
        <rFont val="Arial"/>
        <family val="0"/>
        <charset val="1"/>
      </rPr>
      <t xml:space="preserve">Hona hemen laburpena:
</t>
    </r>
    <r>
      <rPr>
        <sz val="9"/>
        <color theme="1"/>
        <rFont val="Arial"/>
        <family val="0"/>
        <charset val="1"/>
      </rPr>
      <t xml:space="preserve">
Kutxabankek 2023an 2.116 milioi euro bideratu zituen proiektu jasangarrietara, honela banatuta:
- Enpresentzako maileguak: 1.369 milioi (energia berriztagarriak, mugikortasun jasangarria, etxebizitza efizienteak)
- Hipoteka Berdeak: 721 milioi (aurreko urtean baino %6,7 gehiago)
- Kontsumo-mailegu berdeak: 25 milioi (batez ere ibilgailu elektrikoak eta hibridoak erosteko)</t>
    </r>
  </si>
  <si>
    <r>
      <rPr>
        <sz val="9"/>
        <color rgb="FF999999"/>
        <rFont val="Arial"/>
        <family val="0"/>
        <charset val="1"/>
      </rPr>
      <t xml:space="preserve">Testua irakurri ondoren, Euskal Gastronomiaren Topaketa garrantzitsu baten inguruko kronika bat dela ikus dezaket. Hona hemen testu honen puntu nagusiak:
</t>
    </r>
    <r>
      <rPr>
        <sz val="9"/>
        <color theme="1"/>
        <rFont val="Arial"/>
        <family val="0"/>
        <charset val="1"/>
      </rPr>
      <t xml:space="preserve">
Ekitaldiaren testuingurua:
- Arkautin (Araba) ospatu zen, Nekazaritzako Elikagaien campusean
- Hirugarren edizioa izan zen
- 250 profesional baino gehiago bildu ziren
- Edorta Lamo (Arrea jatetxekoa) izan zen hasierako hizlaria
Ekitaldiaren helburuak:
- Arabako eta Euskal Herriko gastronomia sektorea batzea
- Etorkizunari buruzko hausnarketa egitea
- Arabako jakien eta bertako talentuaren aldarrikapena egitea
Eguneko ekintza nagusiak:
1. Gosaria
2. Hitzaldi nagusia, non parte hartu zuten:
</t>
    </r>
    <r>
      <rPr>
        <sz val="9"/>
        <color rgb="FFFF0000"/>
        <rFont val="Arial"/>
        <family val="0"/>
        <charset val="1"/>
      </rPr>
      <t xml:space="preserve">   - Aitor Arregi (Elkano)
   - Maider Martinez (DOP Idiazabal)
   - Anna Montserrat (Mendialdeko Ogia)
   - Alatz Bilbao (Bakea)
</t>
    </r>
    <r>
      <rPr>
        <sz val="9"/>
        <color theme="1"/>
        <rFont val="Arial"/>
        <family val="0"/>
        <charset val="1"/>
      </rPr>
      <t xml:space="preserve">3. Gastronomia azoka:
   - Gastro Gaztea komunitateko sukaldari gazteen pintxo berritzaileak
   - Euskal Ogien, gazten eta Euskal Gozogileen erakusketa
Aipagarria da hizlarien artean azpimarratu zela ekoizle eta jatetxeen arteko harremanen garrantzia, eta Roberto Ruiz koordinatzaileak azpimarratu zuen tradizioaren eta modernitatearen arteko uztarketaren garrantzia euskal sukaldaritzaren etorkizunerako.</t>
    </r>
  </si>
  <si>
    <t xml:space="preserve">Testu honen edukirik garrantzitsuena da Arkautin (Araba) ospatu den Euskal Gastronomiaren Topaketaren hirugarren edizioa, non 250 profesional baino gehiago elkartu diren euskal gastronomiari buruz hitz egiteko eta etorkizunari begiratzeko.
Hona hemen laburpena eduki garrantzitsuenean oinarrituta:
Arkautin (Araba) ospatu da Euskal Gastronomiaren Topaketaren hirugarren edizioa, Nekazaritzako Elikagaien campusean. Bertan, 250 profesional baino gehiago elkartu dira, gastronomia sektoreko profesionalak eta ekoizleak barne. Ekitaldian hitzaldiak, tailerrak eta kultur emanaldiak izan dira, eta Arabako gastronomiaren balioa nabarmendu da. Parte-hartzaileen artean, ekoizle eta sukaldari ezagunak egon dira, elkarren arteko harremanen garrantzia azpimarratuz. Topaketak tradizioaren eta modernitatearen arteko lotura sustatu du, euskal sukaldaritzaren etorkizuna eraikitzeko helburuarekin.</t>
  </si>
  <si>
    <r>
      <rPr>
        <sz val="9"/>
        <color rgb="FFB7B7B7"/>
        <rFont val="Arial"/>
        <family val="0"/>
        <charset val="1"/>
      </rPr>
      <t xml:space="preserve">Hona hemen testuaren analisia 5W1H metodoa erabiliz:
</t>
    </r>
    <r>
      <rPr>
        <sz val="9"/>
        <color theme="1"/>
        <rFont val="Arial"/>
        <family val="0"/>
        <charset val="1"/>
      </rPr>
      <t xml:space="preserve">
ZER?
- Euskal Gastronomiaren Topaketaren hirugarren edizioa
- Gastronomia sektoreko profesionalen eta ekoizleen bilkura
- Mahai inguru, tailer eta kultur emanaldiak
- Gastro azoka eta pintxo dastaketa
NORK?
- 250 profesional baino gehiago parte hartu zuten
- Hizlari nagusiak:
  * Edorta Lamo (Arrea jatetxekoa)
  * Aitor Arregi (Elkano)
  * Maider Martinez (DOP Idiazabal)
  * Anna Montserrat (Mendialdeko Ogia)
  * Alatz Bilbao (Bakea)
- Roberto Ruiz (koordinatzailea eta Hika txakolindegiko sukaldaria)
- Gastro Gaztea komunitateko sukaldari gazteak
NON?
Arkautin (Araba), Nekazaritzako Elikagaien campusean
NOIZ?
Data zehatza ez da aipatzen testuan, baina egun bateko ekitaldia izan zen
ZERGATIK?
- Arabako eta Euskal Herriko gastronomia sektorea batzeko
- Etorkizunari buruzko gogoeta egiteko
- Arabako jakien altxorrak eta sukaldaritza talentua aldarrikatzeko
- Tradizioaren eta modernitatearen arteko lotura indartzeko
NOLA?
- Goizean gosariarekin hasita
- Hitzaldi eta mahai-inguruak antolatuz
- Gastronomia azoka bat prestatuz
- Pintxo berritzaileak eskainiz
- Produktu tradizionalak erakutsiz (ogiak, gaztak, gozoak)
- Bazkari berezi bat antolatuz</t>
    </r>
  </si>
  <si>
    <r>
      <rPr>
        <sz val="9"/>
        <color rgb="FFB7B7B7"/>
        <rFont val="Arial"/>
        <family val="0"/>
        <charset val="1"/>
      </rPr>
      <t xml:space="preserve">Ulertu dudanaren arabera, hona hemen testuaren laburpena:
</t>
    </r>
    <r>
      <rPr>
        <sz val="9"/>
        <color theme="1"/>
        <rFont val="Arial"/>
        <family val="0"/>
        <charset val="1"/>
      </rPr>
      <t xml:space="preserve">
Arkautin (Araba) Euskal Gastronomiaren Topaketaren hirugarren edizioa ospatu da, 250 profesional baino gehiago bilduz. Ekitaldian zehar:
1. Edorta Lamo (Arrea jatetxekoa) izan da aurkezlea
2. Mahai-inguru garrantzitsu bat egin da, non parte hartu duten:
   - Aitor Arregi (Elkano)
   - Maider Martinez (DOP Idiazabal)
   - Anna Montserrat (Mendialdeko Ogia)
   - Alatz Bilbao (Bakea)
Parte-hartzaileek azpimarratu dute ekoizleen eta jatetxeen arteko harremanen garrantzia. Ekitaldian gastronomia azoka bat ere antolatu da, non Gastro Gaztea komunitateko sukaldari gazteek pintxo berritzaileak prestatu dituzten. Roberto Ruiz (Hika txakolindegikoa) arduratu da bazkariaren antolakuntzaz.
Helburua izan da Euskal Herriko gastronomia sektorea batzea eta etorkizunari buruzko hausnarketa egitea, tradizioaren eta berrikuntzaren arteko oreka bilatuz.</t>
    </r>
  </si>
  <si>
    <t xml:space="preserve">I'll provide a summary of the text in Spanish, as it appears to be a news article in Basque about global humanitarian aid for 2024.
Resumen del artículo sobre la ayuda humanitaria global para 2024:
La Oficina de Coordinación de Asuntos Humanitarios de la ONU (OCHA) advierte que 2024 será un año "negro" en términos humanitarios. Principales puntos:
1. Contexto crítico:
- Aumento de crisis a nivel global
- Conflictos armados
- Emergencia climática
- Deterioro de la situación económica
2. Necesidades humanitarias:
- 299,4 millones de personas requerirán ayuda humanitaria
- Zonas más afectadas: Medio Oriente (Palestina, Siria), Ucrania y Sudán
- Se necesitan 43.000 millones de euros para asistencia
3. Desafíos de financiación:
- Solo se ha cubierto un tercio del fondo necesario en 2023
- Primera vez desde 2010 que disminuye la ayuda humanitaria
- Martin Griffiths (coordinador de ayuda de emergencia) advierte que sin financiación, "la gente pagará con sus vidas"
4. Países con mayor intervención en 2023:
- Afganistán (20,6 millones)
- Etiopía (16,9 millones)
- Ucrania (10,8 millones)
- Yemen (8,7 millones)
- República Democrática del Congo (7,2 millones)
5. Consecuencias de la falta de fondos:
- Reducciones en ayuda alimentaria
- Riesgo de hambruna
- Condiciones de vida precarias
- Aumento de riesgos de salud
6. Notas positivas:
- Algunos países mejoran su situación
- Kenya, Pakistán y Malawi ya no requieren programas de ayuda
- Mejoras en Somalia y Yemen
El artículo destaca la urgente necesidad de financiación para atender crisis humanitarias globales en 2024.</t>
  </si>
  <si>
    <r>
      <rPr>
        <sz val="9"/>
        <color rgb="FF000000"/>
        <rFont val="Arial"/>
        <family val="0"/>
        <charset val="1"/>
      </rPr>
      <t xml:space="preserve">Testu honen edukirik garrantzitsuena:
OCHAk (Nazio Batuen Gai Humanitarioak Koordinatzeko Bulegoa) 2024rako laguntza humanitarioaren larritasun handia aurreikusten du. Hurrengo urtean 299,4 milioi lagunek beharko dute laguntza, batez ere gatazka, klima larrialdi eta egoera ekonomiko zailak direla medio. Erakundeak 43.000 milioi euro eskatu ditu, baina aurreikuspenen arabera, laguntza behar duten pertsonen proportzioa murriztuko da: 2023an %79 lagundu ziren, eta aurten %62 besterik ez.
Laburpena:
2024. urtea larria izango da laguntza humanitarioari dagokionez. Munduko 299,4 milioi lagunek laguntza beharko dute, batez ere Ekialde Hurbilean, Ukrainan eta Sudanen. OCHAk 43.000 milioi euroko funtsa eskatu du, baina finantzaketa ezak eragingo du laguntza jasotzen duten pertsonen kopurua murriztea. Gainera, elikagai, etxebizitza eta ur horniduraren murrizketak eragingo du milaka pertsonak baldintza txarretan bizitzea. Hala ere, zenbait herrialdek, hala nola Keniak, Pakistanek eta Malawi</t>
    </r>
    <r>
      <rPr>
        <sz val="9"/>
        <color rgb="FFFF0000"/>
        <rFont val="Arial"/>
        <family val="0"/>
        <charset val="1"/>
      </rPr>
      <t xml:space="preserve">ck</t>
    </r>
    <r>
      <rPr>
        <sz val="9"/>
        <color rgb="FF000000"/>
        <rFont val="Arial"/>
        <family val="0"/>
        <charset val="1"/>
      </rPr>
      <t xml:space="preserve">, hobekuntza erakusten dute.</t>
    </r>
  </si>
  <si>
    <r>
      <rPr>
        <sz val="9"/>
        <color rgb="FF000000"/>
        <rFont val="Arial"/>
        <family val="0"/>
        <charset val="1"/>
      </rPr>
      <t xml:space="preserve">Hona hemen testua 5W1H metodoa erabiliz aztertuta:
## Zer (What):
- NBE Nazio Batuen Erakundeko OCHA Bulegoak 2024rako aurreikuspena: urte "beltza" humanitario alorrean
- 299,4 milioi lagunek beharko dute laguntza humanitarioa
- 43.000 milioi euroko funtsa eskatu da nazioarteari
- Laguntza humanitarioan murrizketak eta finantzaketa krisia
## Nork (Who):
- Martin Griffiths, NBEren Giza Gaietarako idazkariorde nagusi eta Larrialdi Laguntzako koordinatzailea
- OCHA (Nazio Batuen Gai Humanitarioak Koordinatzeko Bulegoa)
- Herrialde emaileak
- Laguntza erakundeak
## Noiz (When):
- 2024ko aurreikuspena
- 2023an zehar gertatutakoa aztertzen da
- Krisi humanitarioak gainezka egiteko arriskua
## Non (Where):
- Ekialde Hurbila (Palestina, </t>
    </r>
    <r>
      <rPr>
        <sz val="9"/>
        <color rgb="FFFF0000"/>
        <rFont val="Arial"/>
        <family val="0"/>
        <charset val="1"/>
      </rPr>
      <t xml:space="preserve">Syria</t>
    </r>
    <r>
      <rPr>
        <sz val="9"/>
        <color rgb="FF000000"/>
        <rFont val="Arial"/>
        <family val="0"/>
        <charset val="1"/>
      </rPr>
      <t xml:space="preserve">)
- Ukraina
- Sudan
- Afganistan
- Etiopia
- Yemen
- Kongoko Errepublika Demokratikoa
- Haiti
- Myanmar
- Kenya
- Pakistan
- Malawi
- Somalia
## Zergatik (Why):
- Gatazkak areagotzen ari direlako
- Klima larrialdia 
- Egoera ekonomiko zailak
- Baliabide eta funts falta
- Nazioarteko laguntzaren murrizketak
## Nola (How):
- 43.000 milioi euroko funtsa eskatzeko
- Laguntza programak berrantolatzeko
- Premiazko kasuetan arreta jartzeko (180,5 milioi pertsona, 72 herrialdetan)
- Elikagai laguntzak, aterpeak, ur hornidura eta garbitasuna bermatzeko
- Herrialde bakoitzaren egoerara egokitutako laguntzak</t>
    </r>
  </si>
  <si>
    <t xml:space="preserve">Here's a summary of the key points from the article:
1. The UN Office for the Coordination of Humanitarian Affairs (OCHA) predicts a challenging humanitarian year in 2024:
- 299.4 million people will need humanitarian assistance
- Key crisis areas include Middle East (Palestine, Syria), Ukraine, and Sudan
- Conflicts, climate emergencies, and economic challenges are driving humanitarian needs
2. Funding Challenges:
- OCHA is requesting €43,000 million from the international community
- In 2023, they only received just over a third of the needed €53 billion
- 2023 will see a reduction in humanitarian aid for the first time since 2010
3. Humanitarian Impact:
- Only 62% of targeted people were assisted in 2023 (compared to 79% in 2022)
- Most work was done in Afghanistan, Ethiopia, Ukraine, Yemen, and Democratic Republic of Congo
- Consequences include:
  - Food assistance reductions
  - Lack of shelter funding
  - Increased risk of disease due to limited access to clean water
4. Some Positive Notes:
- Some countries like Kenya, Pakistan, and Malawi have improved
- Some areas showing signs of improvement:
  - Somalia gradually addressing drought
  - Yemen experiencing reduced conflict
Martin Griffiths, UN Emergency Relief Coordinator, emphasized that without proper funding, "people will pay with their lives."</t>
  </si>
  <si>
    <r>
      <rPr>
        <sz val="9"/>
        <color rgb="FFB7B7B7"/>
        <rFont val="Arial"/>
        <family val="0"/>
        <charset val="1"/>
      </rPr>
      <t xml:space="preserve">Testuaren oinarrizko ezaugarriak eta edukia laburtuko ditut:
</t>
    </r>
    <r>
      <rPr>
        <sz val="9"/>
        <color rgb="FF000000"/>
        <rFont val="Arial"/>
        <family val="0"/>
        <charset val="1"/>
      </rPr>
      <t xml:space="preserve">
## Oihane Jaka Irizarren "Itsaso amniotikoa" poema liburua
### Sorrera eta testuingurua
- 2022ko abenduan Karmele Igartua sormen beka jaso zuen
- Idazle Eskolak eta Aretxabaletako Udalak antolatutako 12. ekimena
- Tere Irastorza poeta eta irakaslea bere bidaide
### Liburuaren ezaugarriak
- Hiru atal ditu: 11 urte, 11 hilabete eta 11 egun
- Minimalista eta hizkuntza-jokoetan aberatsa
- Amatasunari buruzko hausnarketa sakona
### Gaiak
- Heriotza (aita galdu zuen 11 urte zituenean)
- Amatasuna
- Galera mota desberdinak:
  1. Heriotza
  2. Jaioko ez den haurraren galera
  3. Bete gabeko desioak
### Metaforak
- Zuhaitza: </t>
    </r>
    <r>
      <rPr>
        <u val="single"/>
        <sz val="9"/>
        <color rgb="FF000000"/>
        <rFont val="Arial"/>
        <family val="0"/>
        <charset val="1"/>
      </rPr>
      <t xml:space="preserve">hazkundea, bilakaera
</t>
    </r>
    <r>
      <rPr>
        <sz val="9"/>
        <color rgb="FF000000"/>
        <rFont val="Arial"/>
        <family val="0"/>
        <charset val="1"/>
      </rPr>
      <t xml:space="preserve">- Matrioxka: </t>
    </r>
    <r>
      <rPr>
        <u val="single"/>
        <sz val="9"/>
        <color rgb="FF000000"/>
        <rFont val="Arial"/>
        <family val="0"/>
        <charset val="1"/>
      </rPr>
      <t xml:space="preserve">belaunaldien segida, transformazioa
</t>
    </r>
    <r>
      <rPr>
        <sz val="9"/>
        <color rgb="FF000000"/>
        <rFont val="Arial"/>
        <family val="0"/>
        <charset val="1"/>
      </rPr>
      <t xml:space="preserve">
### Egileak
- Biologian doktorea
- Poesiara nerabe zelarik hurbildu zen
- Idazle Eskolan sakondu zuen poesia
Testuak Jakaren ibilbide intelektual eta sortzailearen erradiografia eskaintzen du, </t>
    </r>
    <r>
      <rPr>
        <u val="single"/>
        <sz val="9"/>
        <color rgb="FF000000"/>
        <rFont val="Arial"/>
        <family val="0"/>
        <charset val="1"/>
      </rPr>
      <t xml:space="preserve">non zientzia eta literatura elkarrekin irakiten duten</t>
    </r>
    <r>
      <rPr>
        <sz val="9"/>
        <color rgb="FF000000"/>
        <rFont val="Arial"/>
        <family val="0"/>
        <charset val="1"/>
      </rPr>
      <t xml:space="preserve">.</t>
    </r>
  </si>
  <si>
    <r>
      <rPr>
        <sz val="9"/>
        <color rgb="FF999999"/>
        <rFont val="Arial"/>
        <family val="0"/>
        <charset val="1"/>
      </rPr>
      <t xml:space="preserve">Testuaren edukirik garrantzitsuena laburbilduz:
</t>
    </r>
    <r>
      <rPr>
        <sz val="9"/>
        <color rgb="FF000000"/>
        <rFont val="Arial"/>
        <family val="0"/>
        <charset val="1"/>
      </rPr>
      <t xml:space="preserve">
Oihane Jakak idatzitako "Itsaso amniotikoa" poema liburua amatasunari, </t>
    </r>
    <r>
      <rPr>
        <sz val="9"/>
        <color rgb="FFFF0000"/>
        <rFont val="Arial"/>
        <family val="0"/>
        <charset val="1"/>
      </rPr>
      <t xml:space="preserve">galderari</t>
    </r>
    <r>
      <rPr>
        <sz val="9"/>
        <color rgb="FF000000"/>
        <rFont val="Arial"/>
        <family val="0"/>
        <charset val="1"/>
      </rPr>
      <t xml:space="preserve"> eta bizitzaren zikloei buruzko obra da. Liburua hiru zatitan dago banatuta (11 urte, 11 hilabete, 11 egun) eta heriotza, haurdunaldia eta erditzea bezalako gaiak jorratzen ditu. Zuhaitzaren eta matrioxkaren metaforak erabiliz, Jakak bere ibilbide pertsonalari eta familiari erreparatzen dio, batez ere </t>
    </r>
    <r>
      <rPr>
        <sz val="9"/>
        <color rgb="FFFF0000"/>
        <rFont val="Arial"/>
        <family val="0"/>
        <charset val="1"/>
      </rPr>
      <t xml:space="preserve">bere aitak 11 urte zituenean</t>
    </r>
    <r>
      <rPr>
        <sz val="9"/>
        <color rgb="FF000000"/>
        <rFont val="Arial"/>
        <family val="0"/>
        <charset val="1"/>
      </rPr>
      <t xml:space="preserve"> izandako heriotzatik abiatuta.
</t>
    </r>
    <r>
      <rPr>
        <sz val="9"/>
        <color rgb="FFB7B7B7"/>
        <rFont val="Arial"/>
        <family val="0"/>
        <charset val="1"/>
      </rPr>
      <t xml:space="preserve">Laburpena:
</t>
    </r>
    <r>
      <rPr>
        <sz val="9"/>
        <color rgb="FF000000"/>
        <rFont val="Arial"/>
        <family val="0"/>
        <charset val="1"/>
      </rPr>
      <t xml:space="preserve">
"Itsaso amniotikoa" poema liburua amatasunaren, galeren eta bizitzaren zikloen gaineko hausnarketa poetikoa da. Oihane Jakak hiru atal desberdinetan zehar bere bizipenak, sentimenduak eta transformazioak aztertzen ditu, heriotzatik bizitzara eta umetik amara egindako bidaia konplexua kontatuz. Liburuak minimalismoa eta hizkuntzaren jokoa baliatzen ditu, </t>
    </r>
    <r>
      <rPr>
        <strike val="true"/>
        <u val="single"/>
        <sz val="9"/>
        <color rgb="FF000000"/>
        <rFont val="Arial"/>
        <family val="0"/>
        <charset val="1"/>
      </rPr>
      <t xml:space="preserve">bizitzaren misterioak eta etengabeko aldaketak</t>
    </r>
    <r>
      <rPr>
        <sz val="9"/>
        <color rgb="FF000000"/>
        <rFont val="Arial"/>
        <family val="0"/>
        <charset val="1"/>
      </rPr>
      <t xml:space="preserve"> irudikatzeko.</t>
    </r>
  </si>
  <si>
    <r>
      <rPr>
        <sz val="9"/>
        <color rgb="FFB7B7B7"/>
        <rFont val="Arial"/>
        <family val="0"/>
        <charset val="1"/>
      </rPr>
      <t xml:space="preserve">Hona hemen testua 5W1H metodoa erabiliz aztertua:
</t>
    </r>
    <r>
      <rPr>
        <sz val="9"/>
        <color rgb="FF000000"/>
        <rFont val="Arial"/>
        <family val="0"/>
        <charset val="1"/>
      </rPr>
      <t xml:space="preserve">
### Zer (What):
Itsaso amniotikoa poema liburua, Oihane Jakak idatzia, amatasunari, </t>
    </r>
    <r>
      <rPr>
        <sz val="9"/>
        <color rgb="FFFF0000"/>
        <rFont val="Arial"/>
        <family val="0"/>
        <charset val="1"/>
      </rPr>
      <t xml:space="preserve">galderari</t>
    </r>
    <r>
      <rPr>
        <sz val="9"/>
        <color rgb="FF000000"/>
        <rFont val="Arial"/>
        <family val="0"/>
        <charset val="1"/>
      </rPr>
      <t xml:space="preserve"> eta </t>
    </r>
    <r>
      <rPr>
        <sz val="9"/>
        <color rgb="FFFF0000"/>
        <rFont val="Arial"/>
        <family val="0"/>
        <charset val="1"/>
      </rPr>
      <t xml:space="preserve">galterari</t>
    </r>
    <r>
      <rPr>
        <sz val="9"/>
        <color rgb="FF000000"/>
        <rFont val="Arial"/>
        <family val="0"/>
        <charset val="1"/>
      </rPr>
      <t xml:space="preserve"> buruzko lana.
### Nork (Who):
- Egilea: Oihane Jaka Irizar (Donostia, 1985)
- Laguntzailea/gidaria: Tere Irastorza poeta eta Idazle Eskolako irakaslea
### Noiz (When):
- 2022ko abenduan sormen beka jaso zuen
- Urtebeteko epea izan du liburua osatzeko
- </t>
    </r>
    <r>
      <rPr>
        <strike val="true"/>
        <sz val="9"/>
        <color rgb="FF000000"/>
        <rFont val="Arial"/>
        <family val="0"/>
        <charset val="1"/>
      </rPr>
      <t xml:space="preserve">Liburu hau bere ibilbide literarioaren une garrantzitsu bat da
</t>
    </r>
    <r>
      <rPr>
        <sz val="9"/>
        <color rgb="FF000000"/>
        <rFont val="Arial"/>
        <family val="0"/>
        <charset val="1"/>
      </rPr>
      <t xml:space="preserve">
### Non (Where):
- Donostia (jaioterria)
- Idazle Eskola
- Aretxabaletako Udala (</t>
    </r>
    <r>
      <rPr>
        <sz val="9"/>
        <color rgb="FFFF0000"/>
        <rFont val="Arial"/>
        <family val="0"/>
        <charset val="1"/>
      </rPr>
      <t xml:space="preserve">beka antolatzailea</t>
    </r>
    <r>
      <rPr>
        <sz val="9"/>
        <color rgb="FF000000"/>
        <rFont val="Arial"/>
        <family val="0"/>
        <charset val="1"/>
      </rPr>
      <t xml:space="preserve">)
### Zergatik (Why):
- Amatasunari buruzko hausnarketak egiteko
- </t>
    </r>
    <r>
      <rPr>
        <strike val="true"/>
        <sz val="9"/>
        <color rgb="FF000000"/>
        <rFont val="Arial"/>
        <family val="0"/>
        <charset val="1"/>
      </rPr>
      <t xml:space="preserve">Heriotza eta bizitzaren arteko trantsizioa aztertzeko
</t>
    </r>
    <r>
      <rPr>
        <sz val="9"/>
        <color rgb="FF000000"/>
        <rFont val="Arial"/>
        <family val="0"/>
        <charset val="1"/>
      </rPr>
      <t xml:space="preserve">- </t>
    </r>
    <r>
      <rPr>
        <strike val="true"/>
        <sz val="9"/>
        <color rgb="FF000000"/>
        <rFont val="Arial"/>
        <family val="0"/>
        <charset val="1"/>
      </rPr>
      <t xml:space="preserve">Norberaren bizipenak eta sentimenduak esploratzeko
</t>
    </r>
    <r>
      <rPr>
        <sz val="9"/>
        <color rgb="FF000000"/>
        <rFont val="Arial"/>
        <family val="0"/>
        <charset val="1"/>
      </rPr>
      <t xml:space="preserve">
### Nola (How):
- Poesia bidez, hizkuntzaren minimalismoaz baliatuz
- Hiru atal bereizitan: 11 urte, 11 hilabete, 11 egun
- Zuhaitz eta matrioxkaren metaforak erabiliz
- Biologiatik literaturara egindako bidean</t>
    </r>
  </si>
  <si>
    <r>
      <rPr>
        <sz val="9"/>
        <color rgb="FF999999"/>
        <rFont val="Arial"/>
        <family val="0"/>
        <charset val="1"/>
      </rPr>
      <t xml:space="preserve">Hemen da artikuluaren laburpena:
</t>
    </r>
    <r>
      <rPr>
        <sz val="9"/>
        <color rgb="FF000000"/>
        <rFont val="Arial"/>
        <family val="0"/>
        <charset val="1"/>
      </rPr>
      <t xml:space="preserve">
Oihane Jaka Irizarrek (Donostia, 1985) "Itsaso amniotikoa" poema liburua osatu du, Karmele Igartua sormen beka jasota. Tere Irastorza poetak gidatu du prozesua, eta liburuaren ezaugarri nagusiak hauek dira:
1. Egitura: Hiru atal ditu - 11 urte, 11 hilabete eta 11 egun - </t>
    </r>
    <r>
      <rPr>
        <strike val="true"/>
        <sz val="9"/>
        <color rgb="FF000000"/>
        <rFont val="Arial"/>
        <family val="0"/>
        <charset val="1"/>
      </rPr>
      <t xml:space="preserve">hizkuntza jokoz beterik</t>
    </r>
    <r>
      <rPr>
        <sz val="9"/>
        <color rgb="FF000000"/>
        <rFont val="Arial"/>
        <family val="0"/>
        <charset val="1"/>
      </rPr>
      <t xml:space="preserve">.
2. Gai nagusiak:
- Amatasuna
- Galera (heriotza, haurgabetasuna, bete gabeko desio)
- Bizitzaren zikloa
3. Metaforak:
- Zuhaitza: </t>
    </r>
    <r>
      <rPr>
        <strike val="true"/>
        <sz val="9"/>
        <color rgb="FF000000"/>
        <rFont val="Arial"/>
        <family val="0"/>
        <charset val="1"/>
      </rPr>
      <t xml:space="preserve">hazkundea, biribiltasuna
</t>
    </r>
    <r>
      <rPr>
        <sz val="9"/>
        <color rgb="FF000000"/>
        <rFont val="Arial"/>
        <family val="0"/>
        <charset val="1"/>
      </rPr>
      <t xml:space="preserve">- Matrioxka: </t>
    </r>
    <r>
      <rPr>
        <strike val="true"/>
        <sz val="9"/>
        <color rgb="FF000000"/>
        <rFont val="Arial"/>
        <family val="0"/>
        <charset val="1"/>
      </rPr>
      <t xml:space="preserve">belaunaldien segida
</t>
    </r>
    <r>
      <rPr>
        <sz val="9"/>
        <color rgb="FF000000"/>
        <rFont val="Arial"/>
        <family val="0"/>
        <charset val="1"/>
      </rPr>
      <t xml:space="preserve">
4. Ibilbide pertsonala:
- 11 urterekin aita galdu zuen
- Biologian doktorea
- Poesiarekiko zaletasuna nerabe garaian hasi zen
5. Liburu honek bizitzaren fase ezberdinak jasotzen ditu: heriotzatik bizitzara, haur izatetik ama izatera.
Irastorzaren arabera, liburuak hasiera berri bat dakar, Jakaren sormen prozesu berri bat bultzatuz.</t>
    </r>
  </si>
  <si>
    <t xml:space="preserve">Based on the Basque language text, here's a summary of the events:
During the night, fascist graffiti was spray-painted in Pamplona's Old Town (Alde Zaharra), specifically in and around San Francisco Square. The graffiti primarily contained messages supporting the "Monument to the Fallen" (Erorien Monumentua). In recent weeks, there have been several protests demanding the monument's demolition, to which fascists have responded with messages like "Los caidos no se tocan" (The fallen are not to be touched).
The vandals also drew swastikas, Star of David symbols, and other fascist iconography. They additionally spray-painted fascist symbols on the exterior of the EH Bildu political party's headquarters, including an offensive caricature of Asiron (referencing his nose) between swastikas and Stars of David.
EH Bildu strongly condemned these graffiti attacks, stating: "We will not allow fascists to condition our lives and decisions. We are fully committed to coexistence and democratic memory."
The text includes a tweet from the EH Bildu Pamplona account emphasizing their firm stance against these racist and inflammatory vandalism acts.</t>
  </si>
  <si>
    <r>
      <rPr>
        <sz val="9"/>
        <color rgb="FFB7B7B7"/>
        <rFont val="Arial"/>
        <family val="0"/>
        <charset val="1"/>
      </rPr>
      <t xml:space="preserve">Testuaren eduki garrantzitsuena:
Iruñeko Alde Zaharrean faxistek pintaketa erasotzaileak egin dituzte San Frantzisko plazan, non Erorien Monumentuaren aldeko mezuak, svastikak, Daviden izarrak eta beste ikur faxistak margotu dituzten. Era berean, EH Bilduren egoitzaren kanpoaldean ere ikur faxistak jarri dituzte, Asiron narizon mezuarekin. EH Bilduk gertakaria gogor salatu du, adieraziz ez dietela faxistei utziko beren bizitzak eta erabakiak baldintzatzen.
Laburpena:
</t>
    </r>
    <r>
      <rPr>
        <sz val="9"/>
        <color rgb="FF000000"/>
        <rFont val="Arial"/>
        <family val="0"/>
        <charset val="1"/>
      </rPr>
      <t xml:space="preserve">
Iruñean faxistek pintaketa erasotzaileak egin dituzte San Frantzisko plazan eta EH Bilduren egoitzan, non hainbat ikur faxista eta mezu erasotzaile margotu dituzten. EH Bilduk gertakaria gogor salatu du, bere konpromiso demokratikoa azpimarratuz.</t>
    </r>
  </si>
  <si>
    <r>
      <rPr>
        <sz val="9"/>
        <color rgb="FF000000"/>
        <rFont val="Arial"/>
        <family val="0"/>
        <charset val="1"/>
      </rPr>
      <t xml:space="preserve">Hemen dago testua 5W1H metodoa erabiliz aztertua:
**ZER**: Pintaketa faxistak Iruñeko Alde Zaharrean, besteak beste:
- Erorien Monumentuaren aldeko mezuak
- Svastikak eta Daviden izarrak 
- EH Bilduren egoitzaren kanpoaldean ikur faxistak
- Asiron narizon (Asiron sudur handi) mezua
**NORK**: Faxistek eginak
**NOIZ**: Bart gauean (</t>
    </r>
    <r>
      <rPr>
        <strike val="true"/>
        <sz val="9"/>
        <color rgb="FF000000"/>
        <rFont val="Arial"/>
        <family val="0"/>
        <charset val="1"/>
      </rPr>
      <t xml:space="preserve">2024ko apirilaren 25ean</t>
    </r>
    <r>
      <rPr>
        <sz val="9"/>
        <color rgb="FF000000"/>
        <rFont val="Arial"/>
        <family val="0"/>
        <charset val="1"/>
      </rPr>
      <t xml:space="preserve">)
**NON**: 
- San Frantzisko plaza eta inguruak
- EH Bilduren egoitzaren kanpoaldea
- Iruñeko Alde Zaharra
**ZERGATIK**:
- Erorien Monumentuaren aurkako azken asteetako protestei erantzunez
- Los caidos no se tocan (eroriak ez dira ukitzen) mezua zabaltzeko
- EH Bilduren memoria demokratikoaren aldeko jarrerari erantzunez
**NOLA**:
- Pintaketak eginez
- Ikur faxistak marraztuz
- Mezu probokatiboak idatziz
</t>
    </r>
    <r>
      <rPr>
        <strike val="true"/>
        <sz val="9"/>
        <color rgb="FF000000"/>
        <rFont val="Arial"/>
        <family val="0"/>
        <charset val="1"/>
      </rPr>
      <t xml:space="preserve">Gertakariak argi erakusten du gorroto eta intolerantzia mezuen hedapen bat, memoria historikoaren inguruko gatazka politikoan.</t>
    </r>
  </si>
  <si>
    <t xml:space="preserve">Here's a summary of the text:
Fascist graffiti have been painted in the Old Town of Pamplona (Iruñea), specifically in San Francisco Square and surrounding areas. The messages primarily support the Monument to the Fallen (Erorien Monumentua), in response to recent protests calling for its removal. The graffiti include messages like "Los caidos no se tocan" (The fallen are not to be touched), along with swastikas, Star of David symbols, and other fascist iconography.
Fascist symbols were also painted on the exterior of the EH Bildu party headquarters, including a derogatory reference to Asiron (with the phrase "Asiron narizon" - suggesting a big-nosed Asiron) between swastikas and Stars of David.
EH Bildu strongly condemned these actions, stating: "We will not allow fascists to condition our lives and decisions. We are fully committed to coexistence and democratic memory."</t>
  </si>
  <si>
    <r>
      <rPr>
        <sz val="9"/>
        <color rgb="FF999999"/>
        <rFont val="Arial"/>
        <family val="0"/>
        <charset val="1"/>
      </rPr>
      <t xml:space="preserve">This text is in Basque language and appears to be an article about the European wind energy industry. Let me summarize the key points for you:
</t>
    </r>
    <r>
      <rPr>
        <sz val="9"/>
        <color rgb="FF000000"/>
        <rFont val="Arial"/>
        <family val="0"/>
        <charset val="1"/>
      </rPr>
      <t xml:space="preserve">
The article discusses the challenges and potential support for three major wind energy producers in Europe: Siemens Gamesa, Vestas, and Nordex. Here are the main highlights:
1. Financial Challenges and European Commission Support
- The three major wind energy producers are experiencing significant losses
- The European Commission is preparing to provide substantial financial assistance
- They aim to speed up project approvals and monitor competitive practices
2. Industry Situation
- Siemens Gamesa, which employs 2,800 people in the Basque Country, will present a viability plan on November 21st
- Trade unions are concerned about the company's current situation
3. Competitive Challenges
- European producers are vulnerable to high inflation and rising raw material costs
- Asian competitors, especially Chinese companies, have state financial support
- Wind park auctions tend to favor the lowest prices, which benefits Chinese manufacturers
4. European Commission's Proposed Measures
- Simplify auctions to not solely focus on price
- Promote criteria like sustainability and cybersecurity
- Increase guarantees through the European Investment Bank
- Double funding for green technology projects (1,400 million euros)
5. Wind Energy in the European Union
- Currently, 16% of energy consumed is wind-generated
- 250 factories exist in the EU
- Contributes approximately 42 billion euros to GDP
- Provides 300,000 qualified jobs
6. Future Goals
- Countries have committed to installing 111 gigawatts of wind power capacity
- Currently need to increase installation from 1.2 to 12 gigawatts annually
- Aim to accelerate offshore wind project development
</t>
    </r>
    <r>
      <rPr>
        <sz val="9"/>
        <color rgb="FF999999"/>
        <rFont val="Arial"/>
        <family val="0"/>
        <charset val="1"/>
      </rPr>
      <t xml:space="preserve">
The article emphasizes the European Commission's commitment to supporting and developing the wind energy sector despite current challenges.</t>
    </r>
  </si>
  <si>
    <r>
      <rPr>
        <sz val="9"/>
        <color rgb="FF999999"/>
        <rFont val="Arial"/>
        <family val="0"/>
        <charset val="1"/>
      </rPr>
      <t xml:space="preserve">Testuaren edukirik garrantzitsuena honako hau da:
</t>
    </r>
    <r>
      <rPr>
        <sz val="9"/>
        <color rgb="FF000000"/>
        <rFont val="Arial"/>
        <family val="0"/>
        <charset val="1"/>
      </rPr>
      <t xml:space="preserve">
Europako Batzordeak neurri berriak hartuko ditu industriarentzat:
- 1.400 milioi euro inbertituko ditu teknologia berdeetan
- Enkanteak aldatuko ditu, prezioaz gain beste irizpide batzuk kontuan hartuz
- Energia eolikoko proiektuen baimenak azkartzeko programa bat abiatuko du
- EIB bankuaren bermeak handituko ditu
- Txinako lehiakideen praktikak kontrolatuko ditu
Laburpena:
Europako industria eolikoak krisi larria </t>
    </r>
    <r>
      <rPr>
        <strike val="true"/>
        <sz val="9"/>
        <color rgb="FF000000"/>
        <rFont val="Arial"/>
        <family val="0"/>
        <charset val="1"/>
      </rPr>
      <t xml:space="preserve">bizi du</t>
    </r>
    <r>
      <rPr>
        <sz val="9"/>
        <color rgb="FF000000"/>
        <rFont val="Arial"/>
        <family val="0"/>
        <charset val="1"/>
      </rPr>
      <t xml:space="preserve">, baina Europako Batzordeak laguntza-plan zabala prestatu du sektorea indartzeko. Siemens Gamesa, Vestas eta Nordex bezalako enpresen zailtasunen aurrean, Bruselak 1.400 milioi euro inbertituko ditu, enkanteen baldintzak aldatuko ditu, proiektuen baimenak azkartu eta energia eolikoa sustatzeko estrategia berria ezarriko du. Helburua da Europako sektore eolikoa lehiakorragoa eta iraunkorragoa egitea, </t>
    </r>
    <r>
      <rPr>
        <sz val="9"/>
        <color rgb="FFFF0000"/>
        <rFont val="Arial"/>
        <family val="0"/>
        <charset val="1"/>
      </rPr>
      <t xml:space="preserve">batez ere Asiako, bereziki Txinako, lehiakideen aurrean.
</t>
    </r>
    <r>
      <rPr>
        <sz val="9"/>
        <color rgb="FF000000"/>
        <rFont val="Arial"/>
        <family val="0"/>
        <charset val="1"/>
      </rPr>
      <t xml:space="preserve">
Gaur egun, EBn energia kontsumoaren %16 eolikoa da, 250 fabrika daude eta 300.000 enplegu kualifikatu sortzen ditu sektoreak. Batzordearen ustez, energia berriztagarrien hedapena funtsezkoa da deskarbonizaziorako.</t>
    </r>
  </si>
  <si>
    <r>
      <rPr>
        <sz val="9"/>
        <color rgb="FF999999"/>
        <rFont val="Arial"/>
        <family val="0"/>
        <charset val="1"/>
      </rPr>
      <t xml:space="preserve">Hona hemen 5W1H metodoa erabiliz testu horren analisia:
</t>
    </r>
    <r>
      <rPr>
        <sz val="9"/>
        <color rgb="FF000000"/>
        <rFont val="Arial"/>
        <family val="0"/>
        <charset val="1"/>
      </rPr>
      <t xml:space="preserve">
## ZER
- Europako industria eolikoko ekoizle handien (Siemens Gamesa, Vestas eta Nordex) egoera ekonomikoa eta Europako Batzordeak sektore horri laguntzeko hartutako neurriak
- Energia berriztagarrien, bereziki eolikoen, garapenerako estrategia europarra
- Sektorearen erronkak eta suspertzeko planak
## NORK
- Europako Batzordea, bereziki Kadri Simson Energia komisarioa
- Siemens Gamesa, Vestas eta Nordex bezalako enpresa eolikoak
- Europako Inbertsio Bankua (EIB)
- Europako estatuak eta industriako eragileak
## NOIZ
- </t>
    </r>
    <r>
      <rPr>
        <strike val="true"/>
        <sz val="9"/>
        <color rgb="FF000000"/>
        <rFont val="Arial"/>
        <family val="0"/>
        <charset val="1"/>
      </rPr>
      <t xml:space="preserve">Gaur egun (2024an)
</t>
    </r>
    <r>
      <rPr>
        <sz val="9"/>
        <color rgb="FF000000"/>
        <rFont val="Arial"/>
        <family val="0"/>
        <charset val="1"/>
      </rPr>
      <t xml:space="preserve">- Martxorako gida bat prestatzea aurreikusia
- Azaroan (azaroaren 21ean) Siemens Gamesak bideragarritasun plana aurkeztuko du
- Urte amaierarako online tresna bat
- Apirilerako prozedura gida eguneratua
## NON
- Europan, bereziki Bruselan
- Hego Euskal Herrian (Siemens Gamesaren kasuan)
- Asiako herrialdeak, batez ere Txina
## ZERGATIK
- Industria eolikoak galera handiak dituelako
- Energia berriztagarrien garapena bultzatu behar delako
- Klima aldaketari aurre egiteko energia garbietan inbertitu behar delako
- Europako enpresak lehiakide asiarren aurrean babestu behar direlako
- Deskarbonizazio helburuak lortzeko
## NOLA
- Laguntzak bikoiztuz (1.400 milio euro Berrikuntzarako Funtsean)
- Enkante sistemak aldatuz
- Tramiteak arinduaz (Accelere-RES programa)
- Europako Inbertsio Bankuaren bermeak handituz
- Proiektu eolikoen prozedura administratiboak sinplifikatuz
- Herrialdeen eta industriaren arteko elkarrizketak sustatuz
- Kanpoko lehiakideen praktikak zainduz
Laburbilduz, dokumentuak Europako industria eolikoaren egoera kritikoa eta Batzordeak sektorea suspertzeko hartutako neurri zehatzak azaltzen ditu, energia berriztagarrien garapena eta klima aldaketaren aurkako borrokaren testuinguruan.</t>
    </r>
  </si>
  <si>
    <r>
      <rPr>
        <sz val="9"/>
        <color rgb="FF999999"/>
        <rFont val="Arial"/>
        <family val="0"/>
        <charset val="1"/>
      </rPr>
      <t xml:space="preserve">TLDR (laburpena):
</t>
    </r>
    <r>
      <rPr>
        <sz val="9"/>
        <color rgb="FF000000"/>
        <rFont val="Arial"/>
        <family val="0"/>
        <charset val="1"/>
      </rPr>
      <t xml:space="preserve">
Europako Batzordeak industria eolikoari laguntzeko plan handia jarri du martxan:
1. Laguntza ekonomikoak:
- EIB Bankuak bermeak handituko ditu
- Berrikuntzarako Funtsera 1.400 milioi euro gehiago
- Teknologia berdearen proiektuak babestuko ditu
2. Lehiakortasun-neurriak:
- Enkante sistemak aldatzea, ez soilik preziorik merkeenean oinarrituz
- Txinako lehiakideen praktika bidegabeei aurre egitea
- Merkataritza defentsarako tresnak aktibatzea
3. Proiektu eolikoen azkartzea:
- Baimen tramiteak sinplifikatzeko programa (Accelere-RES)
- Proiektuen prozedura azkartzeko gida bat apirilerako
- Herrialdeen konpromisoak argitzea energia berriztagarrien hedapenari buruz
4. Egungo egoera:
- EBn energia kontsumoaren %16 eolikoa da
- 250 fabrika eta 300.000 enplegu kualifikatu
- Itsasoko proiektuak bizkortzearen aldeko apustua
Helburua: Europako industria eolikoa indartzea eta deskarbonizaziorako bidean aurrera egitea.</t>
    </r>
  </si>
  <si>
    <t xml:space="preserve">I'll translate the text to English for you:
After a fifteen-year journey, the Ea Poetry Days concluded in 2018. They were held annually in Ea (Bizkaia), and the Herriari Emon Arnasa association was responsible for organizing them. Seeing this void, the Euskaltzaindia (Royal Academy of the Basque Language) launched the Irailekoak poetry festival last year. From the beginning, they announced that they do not intend to hold the festival in the same location every year, and therefore, this year it will be held in Itsasu (Lapurdi).
They have anticipated that it will be a program of one and a half days. On September 28th, it will run all day, and on September 29th, in the morning. The goal is to socialize the work of Basque poets, but they have also said that international poets will be present.
Poems in Shop Windows
They have also explained that there will be talks and readings, but they will provide the specific program details in September. For now, to give poetry a "greater presence" in Itsasu, they will adorn the town's shop windows with lines of verse from various poets. Among them, they will display verses from Forugh Farrokhzad, Anne Sexton, Jose Luis Otamendi, Miren Agur Meabe, Aurelia Arkotxa, Bernardo Atxaga, Raymond Carver, Angel Erro, Castillo Suarez, Itxaro Borda, Jon Gerediaga, and Alejandra Pizarnik.
This time, the Euskaltzaindia has organized the program in collaboration with the Itsasu Town Hall, the Basque Cultural Institute, and the Public Basque Language Institution.</t>
  </si>
  <si>
    <r>
      <rPr>
        <sz val="9"/>
        <color rgb="FF000000"/>
        <rFont val="Arial"/>
        <family val="0"/>
        <charset val="1"/>
      </rPr>
      <t xml:space="preserve">Testu honen edukirik garrantzitsuena honako hau da:
2018an bukatu ziren Eako Poesia Egunak, eta Euskaltzaindiak Irailekoak izeneko poesia jaialdia jarri zuen martxan. Aurten, Itsasun (Lapurdi) egingo dute jaialdia, irailaren 28an eta 29an. Helburua euskal poeten lana eta </t>
    </r>
    <r>
      <rPr>
        <strike val="true"/>
        <sz val="9"/>
        <color rgb="FF000000"/>
        <rFont val="Arial"/>
        <family val="0"/>
        <charset val="1"/>
      </rPr>
      <t xml:space="preserve">nazioarteko poetak</t>
    </r>
    <r>
      <rPr>
        <sz val="9"/>
        <color rgb="FF000000"/>
        <rFont val="Arial"/>
        <family val="0"/>
        <charset val="1"/>
      </rPr>
      <t xml:space="preserve"> gizarteratzea da. Horretarako, hitzaldiak, irakurraldiak eta erakusleihoetan poemen lerroak jarriko dituzte, besteak beste Forugh Farrokhzad, Anne Sexton, Jose Luis Otamendi, Miren Agur Meabe eta beste hainbat poeten testuak erabiliz.
Laburpena:
Euskaltzaindiak Irailekoak poesia jaialdia </t>
    </r>
    <r>
      <rPr>
        <strike val="true"/>
        <sz val="9"/>
        <color rgb="FF000000"/>
        <rFont val="Arial"/>
        <family val="0"/>
        <charset val="1"/>
      </rPr>
      <t xml:space="preserve">antolatu</t>
    </r>
    <r>
      <rPr>
        <sz val="9"/>
        <color rgb="FF000000"/>
        <rFont val="Arial"/>
        <family val="0"/>
        <charset val="1"/>
      </rPr>
      <t xml:space="preserve"> du Itsasun, Eako Poesia Egunak </t>
    </r>
    <r>
      <rPr>
        <strike val="true"/>
        <sz val="9"/>
        <color rgb="FF000000"/>
        <rFont val="Arial"/>
        <family val="0"/>
        <charset val="1"/>
      </rPr>
      <t xml:space="preserve">ordezkatuz</t>
    </r>
    <r>
      <rPr>
        <sz val="9"/>
        <color rgb="FF000000"/>
        <rFont val="Arial"/>
        <family val="0"/>
        <charset val="1"/>
      </rPr>
      <t xml:space="preserve">. Irailaren 28an eta 29an egingo da, euskal eta nazioarteko poeten lana ezagutarazteko asmoz, hitzaldi, irakurraldi eta erakusleihoetako poemen bitartez.</t>
    </r>
  </si>
  <si>
    <r>
      <rPr>
        <sz val="9"/>
        <color rgb="FF999999"/>
        <rFont val="Arial"/>
        <family val="0"/>
        <charset val="1"/>
      </rPr>
      <t xml:space="preserve">Hona hemen testua 5W1H metodoa erabiliz:
</t>
    </r>
    <r>
      <rPr>
        <sz val="9"/>
        <color rgb="FF000000"/>
        <rFont val="Arial"/>
        <family val="0"/>
        <charset val="1"/>
      </rPr>
      <t xml:space="preserve">
**Zer**: Irailekoak poesia jaialdia, euskal eta </t>
    </r>
    <r>
      <rPr>
        <strike val="true"/>
        <sz val="9"/>
        <color rgb="FF000000"/>
        <rFont val="Arial"/>
        <family val="0"/>
        <charset val="1"/>
      </rPr>
      <t xml:space="preserve">nazioarteko</t>
    </r>
    <r>
      <rPr>
        <sz val="9"/>
        <color rgb="FF000000"/>
        <rFont val="Arial"/>
        <family val="0"/>
        <charset val="1"/>
      </rPr>
      <t xml:space="preserve"> poeten lana gizarteratzeko helburuarekin.
**Nork**: Euskaltzaindiak, Itsasuko Herriko Etxearekin, Euskal Kultur Erakundearekin eta Euskararen Erakunde Publikoarekin elkarlanean.
**Noiz**: </t>
    </r>
    <r>
      <rPr>
        <strike val="true"/>
        <sz val="9"/>
        <color rgb="FF000000"/>
        <rFont val="Arial"/>
        <family val="0"/>
        <charset val="1"/>
      </rPr>
      <t xml:space="preserve">2024ko</t>
    </r>
    <r>
      <rPr>
        <sz val="9"/>
        <color rgb="FF000000"/>
        <rFont val="Arial"/>
        <family val="0"/>
        <charset val="1"/>
      </rPr>
      <t xml:space="preserve"> irailaren 28an (egun osoz) eta 29an (goizez).
**Non**: Itsasun (Lapurdi).
**Zergatik**: Eako Poesia Egunak 2018an bukatu ondoren, hutsune bat betetzeko eta poesiaren presentzia handitzeko.
**Nola**: 
- Egun eta erdiko programa
- Hitzaldiak eta irakurraldiak
- Erakusleihoetan poeta ezberdinetan bertso lerroak jarriz
- Nazioarteko eta euskal </t>
    </r>
    <r>
      <rPr>
        <strike val="true"/>
        <sz val="9"/>
        <color rgb="FF000000"/>
        <rFont val="Arial"/>
        <family val="0"/>
        <charset val="1"/>
      </rPr>
      <t xml:space="preserve">poetak bilduz</t>
    </r>
    <r>
      <rPr>
        <sz val="9"/>
        <color rgb="FF000000"/>
        <rFont val="Arial"/>
        <family val="0"/>
        <charset val="1"/>
      </rPr>
      <t xml:space="preserve"> (adibidez: Forugh Farrokhzad, Anne Sexton, Jose Luis Otamendi, Miren Agur Meabe, eta abar)
Ezaugarri berezia da Euskaltzaindiak ez duela festibala urtero leku berean egiteko asmorik.</t>
    </r>
  </si>
  <si>
    <r>
      <rPr>
        <sz val="9"/>
        <color rgb="FF999999"/>
        <rFont val="Arial"/>
        <family val="0"/>
        <charset val="1"/>
      </rPr>
      <t xml:space="preserve">Hona hemen testuaren laburpena:
</t>
    </r>
    <r>
      <rPr>
        <sz val="9"/>
        <color rgb="FF000000"/>
        <rFont val="Arial"/>
        <family val="0"/>
        <charset val="1"/>
      </rPr>
      <t xml:space="preserve">
Eako Poesia Egunak 2018an bukatu ondoren, Euskaltzaindiak Irailekoak izeneko poesia jaialdia sortu du. Aurten, jaialdia Itsasun (Lapurdi) egingo dute, eta ez dute urtero leku berean egiteko asmorik. 
Irailaren 28an eta 29an izango da, egun eta erdi iraungo duelarik. Euskal eta nazioarteko poetak bilduko dira, eta hitzaldiak, irakurraldiak eta beste ekintza batzuk izango dira. Gainera, herriko erakusleihoak hainbat poetaren bertso lerroekin jantziko dituzte, besteak beste Forugh Farrokhzad, Anne Sexton, Jose Luis Otamendi, Miren Agur Meabe, Aurelia Arkotxa, Bernardo Atxaga eta beste batzuen poemekin.
Euskaltzaindiak Itsasuko Herriko Etxearekin, Euskal Kultur Erakundearekin eta Euskararen Erakunde Publikoarekin elkarlanean antolatu du programa.</t>
    </r>
  </si>
  <si>
    <t xml:space="preserve">Testua Euskal Herrian argitaratutako elkarrizketa bat da, non Joxemari Karrere Zabala (Euskal Idazleen Elkarteko ordezkaria) Galeusca topaketen berritzeaz mintzatzen da. Hona hemen testuaren giltzarri nagusiak:
Galeusca Topaketak:
- Katalanezko, Galizierazko eta Euskal Idazleen Elkarteek antolatutako ekimena
- 10 urteren ostean berreskuratzen ari dira
- Maiatzaren 29an egingo dute, Palman (Balearrak)
Topaketen helburuak:
1. Hiru literaturen arteko zubiak indartzea
2. Hizkuntza gutxituen eskubideak babestea
3. Estatuko aldaketetan ahots bakarra lortzea
4. Elkarren arteko ezagutza sustatzea
Testuinguru politikoa:
- Hizkuntza gutxituen aurkako "kontrarreforma" bat gertatzen ari dela uste dute
- Hizkuntza eta kulturei erasoak egiten ari zaizkiela salatzen dute
- Madril eta Paris jarraitzen dute gune erreferentzial izaten
Itzulpengintza topaketen ardatz nagusia izango da, literaturak elkar ezagutzeko eta zabaltzeko modu gisa.</t>
  </si>
  <si>
    <r>
      <rPr>
        <sz val="9"/>
        <color rgb="FF999999"/>
        <rFont val="Arial"/>
        <family val="0"/>
        <charset val="1"/>
      </rPr>
      <t xml:space="preserve">Testuaren edukirik garrantzitsuena:
</t>
    </r>
    <r>
      <rPr>
        <sz val="9"/>
        <color rgb="FF000000"/>
        <rFont val="Arial"/>
        <family val="0"/>
        <charset val="1"/>
      </rPr>
      <t xml:space="preserve">
Galeusca topaketak (euskal, katalan eta galiziar idazleen elkarteak) hamar urteko etenaren ostean berriro elkartu dira, "kontrarreforma" gisa definitutako testuinguru batean. Topaketen helburuak dira:
1. Hiru literaturei eta </t>
    </r>
    <r>
      <rPr>
        <sz val="9"/>
        <color rgb="FFFF0000"/>
        <rFont val="Arial"/>
        <family val="0"/>
        <charset val="1"/>
      </rPr>
      <t xml:space="preserve">hizkuntsei</t>
    </r>
    <r>
      <rPr>
        <sz val="9"/>
        <color rgb="FF000000"/>
        <rFont val="Arial"/>
        <family val="0"/>
        <charset val="1"/>
      </rPr>
      <t xml:space="preserve"> babesa ematea
2. Estatuan proposatzen diren aldaketetan ahots bakarra lortzea
3. Idazleen arteko ezagutza eta harremanak sustatzea
4. Euren literatura nazionalak, kulturak eta hizkuntzak indartzea
Laburpena:
Galeusca topaketak berriz martxan jarri dira, hizkuntza eta kultura gutxituen defentsan. Joxemari Karrere Zabalaren arabera, haien literaturek jasaten dituzten eraso judizialei eta bigarren mailako tratamenduari aurre egiteko elkartu dira. Maiatzaren 29an Palman egingo duten topaketan, itzulpengintza izango dute ardatz, eta 1984ko Pobleteko manifestuaren 40. urteurrena ospatuko dute manifestu berri batekin. Helburua da euren literatura, kultura eta hizkuntzak indartzea, eta muga administratiboak gainditzea.</t>
    </r>
  </si>
  <si>
    <t xml:space="preserve">Hona hemen testuaren azterketa 5W1H metodoa erabiliz:
## Zer (What)
- Galeusca literatur topaketak, hiru idazle elkarteen (euskal, katalan eta galiziar) arteko bilera
- Helburua: literatura nazionalen arteko zubiak indartzea, hizkuntzak babestea eta elkarlanean aritzea
## Nork (Who)
- Joxemari Karrere Zabala (euskal ipuin kontalaria, aktorea eta Euskal Idazleen Elkarteko ordezkaria)
- Parte hartzen dutenak: Katalanezko Idazleen Elkartea, Galizierazko Idazleen Elkartea eta Euskal Idazleen Elkartea
## Noiz (When)
- Maiatzaren 29an
- Hamar urteko etenaldiaren ostean berreskuratutako topaketak
- 2024. urtean, lehen Galeusca topaketen 40. urteurrena
## Non (Where)
- Palman (Balearrak)
## Zergatik (Why)
- Hizkuntzen aurkako eraso judizialei aurre egiteko
- Estatuko aldaketetan ahots bakarra lortzeko
- Literatura nazionalak eta kulturak elkarlanean jartzeko
- Nolabaiteko "kontrarreforma" bati erantzuteko
- Idazleen arteko ezagutza sustatzeko
## Nola (How)
- Egun bateko programa
- Manifestu bat irakurriko dute
- Itzulpengintza izango dute ardatz
- Elkarteen arteko koordinazioa eta elkarlana</t>
  </si>
  <si>
    <t xml:space="preserve">Here's a summary of the key points from the article:
The Galeusca literary meetings between Catalan, Galician, and Basque writers are being revived after a 10-year hiatus. Joxemari Karrere Zabala, a representative of the Basque Writers' Association, explains the reasons behind this reunion:
1. Perceived "Counter-Reform": There's a sense that recent judicial and administrative actions are undermining minority languages and cultures.
2. Key Motivations:
- Strengthen solidarity among these three linguistic communities
- Create a unified voice in discussions about artists' rights and digital rights
- Counter attempts to marginalize their languages and cultures
3. Context of Revival:
- A recent conference of writers' associations highlighted the need for collective action
- Judicial attacks on Basque, Catalan, and Galician languages
- Desire to prevent these languages from being treated as mere "folklore"
4. Upcoming Meeting:
- Scheduled for May 29th in Palma (Balearic Islands)
- Will focus on translation as a key tool for cultural exchange
- Will read a new manifesto updating their original 1984 Poblet Manifesto
- Aims to rebuild connections between writers and promote mutual understanding
5. Broader Goal:
- Challenge the centrality of Madrid or Paris
- Assert their own cultural and linguistic centrality
- Ensure their unique cultural identities are recognized and respected
The revival of Galeusca is essentially an act of cultural resistance and mutual support among these three linguistic communities.</t>
  </si>
  <si>
    <t xml:space="preserve">I'll provide a summary of this Basque language text in Spanish:
El texto recoge declaraciones de dos líderes políticos vascos sobre la configuración del próximo gobierno y el estatus de Euskadi:
Andoni Ortuzar (EAJ-PNV):
- Quiere impulsar un nuevo estatus político para Euskadi en la próxima legislatura
- Confía en alcanzar un acuerdo con EH Bildu y PSE-EE
- Mantendrá el acuerdo con los socialistas
- Espera que Imanol Pradales sea candidato en Ajuriaenea en junio
- Considera que EH Bildu es la segunda fuerza política
Arnaldo Otegi (EH Bildu):
- Está abierto a un acuerdo si se respeta la voluntad de la gente
- Destaca que el 70% de los votantes en Álava, Vizcaya y Guipúzcoa votaron a partidos nacionalistas
- Considera que están en un nuevo ciclo político
- Reclama a los socialistas un "paso ético" para facilitar acuerdos
- Aspira a tener dos escaños en la Mesa del Parlamento
Sumar, por su parte, propone un nuevo estatuto para estas tres provincias que:
- Reconozca los derechos sociales
- Garantice la igualdad de género
- Proteja los derechos LGTBI+
- Promueva la memoria democrática
- Facilite el aprendizaje gratuito del euskera
- Diseñe un proyecto que reconozca la naturaleza nacional de Euskadi
El texto refleja las negociaciones y posicionamientos de los principales partidos de cara a la formación del próximo gobierno vasco.</t>
  </si>
  <si>
    <r>
      <rPr>
        <sz val="9"/>
        <color rgb="FF000000"/>
        <rFont val="Arial"/>
        <family val="0"/>
        <charset val="1"/>
      </rPr>
      <t xml:space="preserve">Laburpena:
Andoni Ortuzar EAJko buruak adierazi du hurrengo legegintzaldian Euskadiren estatus politiko berri baterako proposamena landuko dutela. Baikorra da EH Bildu eta PSE-EErekin akordioak lortzeko aukerez, eta esan du EAJk autogobernurako bide orri argi bat duela. 
Arnaldo Otegik (EH Bildu) azpimarratu du herritarren %70k abertzaleen alde bozkatu duela eta erabakitzeko eskubidea adostasunetik lantzen ari direla. Bere ustez, ezinbestekoa da adostasuna </t>
    </r>
    <r>
      <rPr>
        <sz val="9"/>
        <color rgb="FFFF0000"/>
        <rFont val="Arial"/>
        <family val="0"/>
        <charset val="1"/>
      </rPr>
      <t xml:space="preserve">eta elkarrekin eraikitzea</t>
    </r>
    <r>
      <rPr>
        <sz val="9"/>
        <color rgb="FF000000"/>
        <rFont val="Arial"/>
        <family val="0"/>
        <charset val="1"/>
      </rPr>
      <t xml:space="preserve">.
Sumarrek, bere aldetik, eskubide sozialen aldeko estatutu berri bat defendatuko duela jakinarazi du, </t>
    </r>
    <r>
      <rPr>
        <sz val="9"/>
        <color rgb="FFFF0000"/>
        <rFont val="Arial"/>
        <family val="0"/>
        <charset val="1"/>
      </rPr>
      <t xml:space="preserve">euskararen ikasketa doakoa, etxebizitza, osasuna, hezkuntza eta zaintzarako eskubideak bermatuz</t>
    </r>
    <r>
      <rPr>
        <sz val="9"/>
        <color rgb="FF000000"/>
        <rFont val="Arial"/>
        <family val="0"/>
        <charset val="1"/>
      </rPr>
      <t xml:space="preserve">, eta Euskadiren nazio izaera aitortuz.
Testuaren edukirik garrantzitsuena da Euskadiko hiru indar politiko nagusiek (EAJ, EH Bildu eta </t>
    </r>
    <r>
      <rPr>
        <strike val="true"/>
        <sz val="9"/>
        <color rgb="FF000000"/>
        <rFont val="Arial"/>
        <family val="0"/>
        <charset val="1"/>
      </rPr>
      <t xml:space="preserve">Sumar</t>
    </r>
    <r>
      <rPr>
        <sz val="9"/>
        <color rgb="FF000000"/>
        <rFont val="Arial"/>
        <family val="0"/>
        <charset val="1"/>
      </rPr>
      <t xml:space="preserve">) estatus politiko berri bat eraikitzeko nahia eta akordioak lortzeko borondatea azaldu dutela, </t>
    </r>
    <r>
      <rPr>
        <strike val="true"/>
        <sz val="9"/>
        <color rgb="FF000000"/>
        <rFont val="Arial"/>
        <family val="0"/>
        <charset val="1"/>
      </rPr>
      <t xml:space="preserve">herritarren eskubideak eta aniztasuna errespetatzea oinarri hartuta</t>
    </r>
    <r>
      <rPr>
        <sz val="9"/>
        <color rgb="FF000000"/>
        <rFont val="Arial"/>
        <family val="0"/>
        <charset val="1"/>
      </rPr>
      <t xml:space="preserve">.</t>
    </r>
  </si>
  <si>
    <t xml:space="preserve">5W1H analisia euskal testuarentzat:
ZER:
- EAJk Euskadiko estatus berri baterako proposamena prestatu nahi du
- Hiru alderdi nagusien (EAJ, EH Bildu, PSE-EE) arteko negoziazio eta jarrerak estatus berriaren inguruan
- Sumarrek estatutu berri baterako proposamena aurkeztu du
NORK:
- Andoni Ortuzar (EAJko EBBko lehendakaria)
- Arnaldo Otegi (EH Bilduko koordinatzaile nagusia)
- Sumar alderdia
- PSE-EE (aipatua)
NOIZ:
- Datorren legegintzaldian (proposamena urte eta erdian prestatuko lukete)
- Ekainaren bigarren edo hirugarren asterako Pradales Ajuriaenean egotea espero dute
- Negoziazioak astelehenean hasiko dira
NON:
- Adierazpenak Onda Vasca eta Radio Euskadi irratietan egin dituzte
- Euskal Autonomia Erkidegoan (Araba, Bizkaia eta Gipuzkoa)
- Eusko Legebiltzarra (aipatua)
ZERGATIK:
- Euskadiren autogobernu maila handitzeko
- Herritarren gehiengoak (%70) abertzaleen alde bozkatu duelako
- Eskubide sozialak eta nazio izaera indartzeko (Sumarren kasuan)
NOLA:
- EAJk PSE-EErekin akordioa mantendu nahi du
- EH Bilduk adostasuna bilatzen du eta PSE-EEri "pauso etikoa" eskatzen dio
- Sumarrek eskubide sozialen blindatzea eta herritarren aniztasuna kohesionatzea proposatzen du</t>
  </si>
  <si>
    <t xml:space="preserve">Hona hemen testuaren laburpena:
EAJk Euskadiko estatus berri bat proposatu nahi du hurrengo legegintzaldian:
- Andoni Ortuzarrek (EAJ) iragarri du urte eta erdian proposamen bat prestatuko dutela
- Uste du EH Bildu eta PSE-EErekin adostasuna lortu daitekeela
- Gobernu-osaeran, EAJk PSE-EErekin koalizioa mantendu nahi du
- Imanol Pradales Lehendakari izendatzea espero dute ekainean
EH Bilduren erantzuna:
- Arnaldo Otegik dio akordioa posible dela "herritarren nahia errespetatzen bada"
- Nabarmendu du herritarren %70ek alderdi abertzaleen alde bozkatu duela
- Legebiltzarreko Mahaian bi eserleku aldarrikatzen dituzte
Sumarrek ere bere proposamena aurkeztu du:
- Estatutu berri bat defendatzen du, eskubide sozialak blindatuko dituena
- Euskadiren nazio izaera aitortu eta herritarren aniztasuna kohesionatu nahi du
- Euskara doakoa izatea eta oinarrizko eskubide subjektiboak bermatzea proposatzen du</t>
  </si>
  <si>
    <r>
      <rPr>
        <strike val="true"/>
        <sz val="9"/>
        <color theme="1"/>
        <rFont val="Arial"/>
        <family val="0"/>
        <charset val="1"/>
      </rPr>
      <t xml:space="preserve">Domingo, 19 de noviembre de 2024</t>
    </r>
    <r>
      <rPr>
        <sz val="9"/>
        <color theme="1"/>
        <rFont val="Arial"/>
        <family val="0"/>
        <charset val="1"/>
      </rPr>
      <t xml:space="preserve">. El ambiente en el frontón Labrit de Pamplona es eléctrico. La voz de la afición retumba en el recinto: "Unai Laso, ale! Unai Laso, ale!" El jugador navarro, Unai Laso, se prepara para </t>
    </r>
    <r>
      <rPr>
        <strike val="true"/>
        <sz val="9"/>
        <color theme="1"/>
        <rFont val="Arial"/>
        <family val="0"/>
        <charset val="1"/>
      </rPr>
      <t xml:space="preserve">su primer partido de vuelta a la competición tras una larga ausencia.
</t>
    </r>
    <r>
      <rPr>
        <sz val="9"/>
        <color theme="1"/>
        <rFont val="Arial"/>
        <family val="0"/>
        <charset val="1"/>
      </rPr>
      <t xml:space="preserve">
La vuelta a la competición ha sido especial y significativa para Laso. Después de un </t>
    </r>
    <r>
      <rPr>
        <strike val="true"/>
        <sz val="9"/>
        <color theme="1"/>
        <rFont val="Arial"/>
        <family val="0"/>
        <charset val="1"/>
      </rPr>
      <t xml:space="preserve">año y medio sin competir</t>
    </r>
    <r>
      <rPr>
        <sz val="9"/>
        <color theme="1"/>
        <rFont val="Arial"/>
        <family val="0"/>
        <charset val="1"/>
      </rPr>
      <t xml:space="preserve">, su regreso ha sido muy emotivo, especialmente al hacerlo en casa, con el apoyo de su familia, amigos y aficionados. "Es una señal positiva", afirma Laso, agradecido por el apoyo recibido y por la oportunidad de volver a disfrutar del deporte que ama.
A pesar de la emoción del regreso, Laso no se deja llevar por la euforia. Es consciente de que aún le queda un largo camino por recorrer para recuperar su mejor forma. Ha pasado un año difícil, con altibajos y </t>
    </r>
    <r>
      <rPr>
        <strike val="true"/>
        <sz val="9"/>
        <color theme="1"/>
        <rFont val="Arial"/>
        <family val="0"/>
        <charset val="1"/>
      </rPr>
      <t xml:space="preserve">momentos de duda</t>
    </r>
    <r>
      <rPr>
        <sz val="9"/>
        <color theme="1"/>
        <rFont val="Arial"/>
        <family val="0"/>
        <charset val="1"/>
      </rPr>
      <t xml:space="preserve">, pero su ilusión por volver a competir y su determinación lo han mantenido motivado.
El partido contra Joanes Bakaikoa </t>
    </r>
    <r>
      <rPr>
        <strike val="true"/>
        <sz val="9"/>
        <color theme="1"/>
        <rFont val="Arial"/>
        <family val="0"/>
        <charset val="1"/>
      </rPr>
      <t xml:space="preserve">fue un gran reto para Laso</t>
    </r>
    <r>
      <rPr>
        <sz val="9"/>
        <color theme="1"/>
        <rFont val="Arial"/>
        <family val="0"/>
        <charset val="1"/>
      </rPr>
      <t xml:space="preserve">. A pesar de la victoria por 22-9, el jugador navarro reconoce que aún tiene mucho trabajo por hacer. Durante los seis meses de ausencia</t>
    </r>
    <r>
      <rPr>
        <strike val="true"/>
        <sz val="9"/>
        <color theme="1"/>
        <rFont val="Arial"/>
        <family val="0"/>
        <charset val="1"/>
      </rPr>
      <t xml:space="preserve">, ha tenido que superar momentos de miedo y ansiedad, pero su respeto y dedicación al deporte lo han mantenido enfocado</t>
    </r>
    <r>
      <rPr>
        <sz val="9"/>
        <color theme="1"/>
        <rFont val="Arial"/>
        <family val="0"/>
        <charset val="1"/>
      </rPr>
      <t xml:space="preserve">.
La preparación física y mental de Laso ha sido clave para su regreso. Ha trabajado duro en su técnica, en su defensa y en su movilidad. Aunque aún siente cierta rigidez en su juego, se siente satisfecho con su rendimiento. La clave, según él, ha sido disfrutar del juego y mantener una actitud positiva.
</t>
    </r>
    <r>
      <rPr>
        <strike val="true"/>
        <sz val="9"/>
        <color theme="1"/>
        <rFont val="Arial"/>
        <family val="0"/>
        <charset val="1"/>
      </rPr>
      <t xml:space="preserve">"Me siento mejor con la mano derecha. Todavía tengo que mejorar en la cancha, pero estoy avanzando poco a poco. La clave es disfrutar y no perder la motivación"</t>
    </r>
    <r>
      <rPr>
        <sz val="9"/>
        <color theme="1"/>
        <rFont val="Arial"/>
        <family val="0"/>
        <charset val="1"/>
      </rPr>
      <t xml:space="preserve">, comenta Laso, quien reconoce que su mayor mejora ha sido en la mano derecha, pero que aún le queda camino por recorrer.
Su objetivo en esta vuelta a la competición es claro: disfrutar de cada partido, darlo todo en la cancha y competir al máximo nivel. Quiere dejar de lado la presión y los resultados, y centrarse en su juego y en su evolución.
Laso es consciente de que cada partido es una nueva oportunidad para demostrar su valía y para seguir mejorando. Con una actitud positiva y una mentalidad fuerte, está decidido a dejar su marca en cada encuentro.
"Unai Laso ha vuelto", dicen los aficionados. </t>
    </r>
    <r>
      <rPr>
        <strike val="true"/>
        <sz val="9"/>
        <color theme="1"/>
        <rFont val="Arial"/>
        <family val="0"/>
        <charset val="1"/>
      </rPr>
      <t xml:space="preserve">Para él, estas palabras son un reconocimiento a su esfuerzo y dedicación</t>
    </r>
    <r>
      <rPr>
        <sz val="9"/>
        <color theme="1"/>
        <rFont val="Arial"/>
        <family val="0"/>
        <charset val="1"/>
      </rPr>
      <t xml:space="preserve">. Sabe que aún tiene mucho por ofrecer y que su mejor versión está por llegar. </t>
    </r>
    <r>
      <rPr>
        <strike val="true"/>
        <sz val="9"/>
        <color theme="1"/>
        <rFont val="Arial"/>
        <family val="0"/>
        <charset val="1"/>
      </rPr>
      <t xml:space="preserve">Con una sonrisa en su rostro y una determinación en sus ojos, Unai Laso se prepara para su próximo desafío, listo para dejar su huella en la cancha.</t>
    </r>
  </si>
  <si>
    <r>
      <rPr>
        <sz val="9"/>
        <color theme="1"/>
        <rFont val="Arial"/>
        <family val="0"/>
        <charset val="1"/>
      </rPr>
      <t xml:space="preserve">Edukirik garrantzitsuena:
"Gertuko asko joan ziren: senitarteko asko, herriko eta Iruñeko kuadrillakoak... Asko animatzen naute beti; izugarri eskertzen diet."
Edukirik laburtena:
"Bete-betean jokatu behar dut, adi-adi, eta ausart; ondo sakatu behar dut."
Testu honetan, pilota-jokalariak buruz buruko esperientzia eta sentipena adierazi nahi die, eta horretarako, edukirik garrantzitsuena,</t>
    </r>
    <r>
      <rPr>
        <sz val="9"/>
        <color rgb="FFFF0000"/>
        <rFont val="Arial"/>
        <family val="0"/>
        <charset val="1"/>
      </rPr>
      <t xml:space="preserve"> animazio eta eskerrak nabarmendu nahi die</t>
    </r>
    <r>
      <rPr>
        <sz val="9"/>
        <color theme="1"/>
        <rFont val="Arial"/>
        <family val="0"/>
        <charset val="1"/>
      </rPr>
      <t xml:space="preserve">, gertuko lagun eta kuadrillak parte hartu duten eta </t>
    </r>
    <r>
      <rPr>
        <sz val="9"/>
        <color rgb="FFFF0000"/>
        <rFont val="Arial"/>
        <family val="0"/>
        <charset val="1"/>
      </rPr>
      <t xml:space="preserve">borrokatzeko garrantzia nabarmendu nahi die</t>
    </r>
    <r>
      <rPr>
        <sz val="9"/>
        <color theme="1"/>
        <rFont val="Arial"/>
        <family val="0"/>
        <charset val="1"/>
      </rPr>
      <t xml:space="preserve">.
Edukirik laburtena, berriz, </t>
    </r>
    <r>
      <rPr>
        <sz val="9"/>
        <color rgb="FFFF0000"/>
        <rFont val="Arial"/>
        <family val="0"/>
        <charset val="1"/>
      </rPr>
      <t xml:space="preserve">jokatze-moduari buruz adierazten dio</t>
    </r>
    <r>
      <rPr>
        <sz val="9"/>
        <color theme="1"/>
        <rFont val="Arial"/>
        <family val="0"/>
        <charset val="1"/>
      </rPr>
      <t xml:space="preserve">, eta </t>
    </r>
    <r>
      <rPr>
        <sz val="9"/>
        <color rgb="FFFF0000"/>
        <rFont val="Arial"/>
        <family val="0"/>
        <charset val="1"/>
      </rPr>
      <t xml:space="preserve">bete-betean jokatzen duen eragile bihurtzen da</t>
    </r>
    <r>
      <rPr>
        <sz val="9"/>
        <color theme="1"/>
        <rFont val="Arial"/>
        <family val="0"/>
        <charset val="1"/>
      </rPr>
      <t xml:space="preserve">, sasoiko atera behar duen eta ondo sakatzen duen </t>
    </r>
    <r>
      <rPr>
        <sz val="9"/>
        <color rgb="FFFF0000"/>
        <rFont val="Arial"/>
        <family val="0"/>
        <charset val="1"/>
      </rPr>
      <t xml:space="preserve">eragile bihurtzen da</t>
    </r>
    <r>
      <rPr>
        <sz val="9"/>
        <color theme="1"/>
        <rFont val="Arial"/>
        <family val="0"/>
        <charset val="1"/>
      </rPr>
      <t xml:space="preserve">. Horrela, jokatze-estrategia eta sasoiko </t>
    </r>
    <r>
      <rPr>
        <sz val="9"/>
        <color rgb="FFFF0000"/>
        <rFont val="Arial"/>
        <family val="0"/>
        <charset val="1"/>
      </rPr>
      <t xml:space="preserve">eragilearen garrantzia nabarmendu nahi die</t>
    </r>
    <r>
      <rPr>
        <sz val="9"/>
        <color theme="1"/>
        <rFont val="Arial"/>
        <family val="0"/>
        <charset val="1"/>
      </rPr>
      <t xml:space="preserve">.
Horrelako testu bat, buruz burukoko esperientzia eta sentipena adierazteko, garrantzitsua da pilota-jokalarien bizi garrantzitsuenetako bat, eta horretarako, edukirik garrantzitsuena eta laburtena erabiliz, jokalari horren bizi eta sentipena nabarmendu daitezke.</t>
    </r>
  </si>
  <si>
    <r>
      <rPr>
        <sz val="9"/>
        <color theme="1"/>
        <rFont val="Arial"/>
        <family val="0"/>
        <charset val="1"/>
      </rPr>
      <t xml:space="preserve">Zer?
- Unai Laso </t>
    </r>
    <r>
      <rPr>
        <sz val="9"/>
        <color rgb="FFFF0000"/>
        <rFont val="Arial"/>
        <family val="0"/>
        <charset val="1"/>
      </rPr>
      <t xml:space="preserve">buruz burukoan.
</t>
    </r>
    <r>
      <rPr>
        <sz val="9"/>
        <color theme="1"/>
        <rFont val="Arial"/>
        <family val="0"/>
        <charset val="1"/>
      </rPr>
      <t xml:space="preserve">
Nork?
- Unai Laso </t>
    </r>
    <r>
      <rPr>
        <sz val="9"/>
        <color rgb="FFFF0000"/>
        <rFont val="Arial"/>
        <family val="0"/>
        <charset val="1"/>
      </rPr>
      <t xml:space="preserve">bere burua.
</t>
    </r>
    <r>
      <rPr>
        <sz val="9"/>
        <color theme="1"/>
        <rFont val="Arial"/>
        <family val="0"/>
        <charset val="1"/>
      </rPr>
      <t xml:space="preserve">
Noiz?
- Duela bi aste, Bizkarreta-Gerendiaingoak (Nafarroa) Joanes Bakaikoari aurka jokatzean.
Non?
- Labriten, etxean.
Zergatik?
- Buruz burukoan itzuli eta berriro txapelketa garrantzitsuetan jokatzeko ilusioa eta motibazioa adierazteko.
Nola?
- Hil ala biziko partida izan arren, ilusio handiz heldu zen Joanesen aurkako partidari. Urte txarra pasatu eta berriro txapelketa garrantzitsuetan jokatzeko ahalmena lortzeko prestatu zen.</t>
    </r>
  </si>
  <si>
    <r>
      <rPr>
        <sz val="9"/>
        <color theme="1"/>
        <rFont val="Arial"/>
        <family val="0"/>
        <charset val="1"/>
      </rPr>
      <t xml:space="preserve">TL;DR: Unai Laso, a professional pelota player, reflects on his recent return to the front court after </t>
    </r>
    <r>
      <rPr>
        <strike val="true"/>
        <sz val="9"/>
        <color theme="1"/>
        <rFont val="Arial"/>
        <family val="0"/>
        <charset val="1"/>
      </rPr>
      <t xml:space="preserve">a year-long break</t>
    </r>
    <r>
      <rPr>
        <sz val="9"/>
        <color theme="1"/>
        <rFont val="Arial"/>
        <family val="0"/>
        <charset val="1"/>
      </rPr>
      <t xml:space="preserve">. He expresses excitement for </t>
    </r>
    <r>
      <rPr>
        <strike val="true"/>
        <sz val="9"/>
        <color theme="1"/>
        <rFont val="Arial"/>
        <family val="0"/>
        <charset val="1"/>
      </rPr>
      <t xml:space="preserve">the upcoming match against Joanes Bakaikoa</t>
    </r>
    <r>
      <rPr>
        <sz val="9"/>
        <color theme="1"/>
        <rFont val="Arial"/>
        <family val="0"/>
        <charset val="1"/>
      </rPr>
      <t xml:space="preserve"> and shares his experiences and challenges during his comeback. Laso emphasizes the importance of staying focused, training hard, and enjoying the game, aiming to perform at his best in every match.</t>
    </r>
  </si>
  <si>
    <r>
      <rPr>
        <sz val="9"/>
        <color rgb="FF999999"/>
        <rFont val="Arial"/>
        <family val="0"/>
        <charset val="1"/>
      </rPr>
      <t xml:space="preserve">Hemen duzu hurrengo testua:
</t>
    </r>
    <r>
      <rPr>
        <sz val="9"/>
        <color theme="1"/>
        <rFont val="Arial"/>
        <family val="0"/>
        <charset val="1"/>
      </rPr>
      <t xml:space="preserve">
Kutxabankek 2.116 milioi euro jarri zituen iaz jasangarritasunerako proiektuetan finantzatzeko. Horietako 1.369 milioi euro enpresen maileguak izan ziren, energia berriztagarriak sortzeko eta instalazioak jartzeko proiektuetan, mugikortasun jasangarriko jardueretan, eta etxebizitzak sustatzeko inbertsioetan.
Hipoteka Berdea deitutako mailegu berezi baten bidez, Kutxabankek 721 milioi euro utzi dizkie etxebizitzak erosten duten bezero partikularrei. Hau da, aurreko urtean baino %6,7 gehiago, eta 2023an hipoteketan maileguetako diruaren %22. Hipoteka Berdeak energia ziurtagiririk onena duten etxeetarako finantzaketa baldintza bereziak eskaintzen ditu.
Kontsumorako kredituetan ere, Kutxabankek jasangarritasun irizpide batzuk finkatu ditu. 2023an, auto elektrikoak eta hibridoak erosten dutenentzat 25 milioi euroren maileguak eman zituen, aurreko urtean bezala. Horren zatirik handiena, auto elektrikoetarako maileguak izan ziren.
</t>
    </r>
    <r>
      <rPr>
        <sz val="9"/>
        <color rgb="FFFF0000"/>
        <rFont val="Arial"/>
        <family val="0"/>
        <charset val="1"/>
      </rPr>
      <t xml:space="preserve">Honek</t>
    </r>
    <r>
      <rPr>
        <sz val="9"/>
        <color theme="1"/>
        <rFont val="Arial"/>
        <family val="0"/>
        <charset val="1"/>
      </rPr>
      <t xml:space="preserve"> adierazi du Kutxabankek jasangarritasun eta energia berriztagarritasun proiektuetan inbertsio handia egin duela, eta bere finantzaketa baldintzak sustatzen dituen etxebizitzak eta garraio alternatibak errazten dizkie bezeroei.</t>
    </r>
  </si>
  <si>
    <r>
      <rPr>
        <sz val="9"/>
        <color theme="1"/>
        <rFont val="Arial"/>
        <family val="0"/>
        <charset val="1"/>
      </rPr>
      <t xml:space="preserve">Ondoko testua </t>
    </r>
    <r>
      <rPr>
        <sz val="9"/>
        <color rgb="FFFF0000"/>
        <rFont val="Arial"/>
        <family val="0"/>
        <charset val="1"/>
      </rPr>
      <t xml:space="preserve">laburtu</t>
    </r>
    <r>
      <rPr>
        <sz val="9"/>
        <color theme="1"/>
        <rFont val="Arial"/>
        <family val="0"/>
        <charset val="1"/>
      </rPr>
      <t xml:space="preserve"> eta edukirik garrantzitsuena erabiliz:
Kutxabankek jasangarritasunerako proiektuetan finantzazio handia egin du, 2.116 milioi euro jarri izan d</t>
    </r>
    <r>
      <rPr>
        <sz val="9"/>
        <color rgb="FFFF0000"/>
        <rFont val="Arial"/>
        <family val="0"/>
        <charset val="1"/>
      </rPr>
      <t xml:space="preserve">ituzte</t>
    </r>
    <r>
      <rPr>
        <sz val="9"/>
        <color theme="1"/>
        <rFont val="Arial"/>
        <family val="0"/>
        <charset val="1"/>
      </rPr>
      <t xml:space="preserve"> iaz. </t>
    </r>
    <r>
      <rPr>
        <sz val="9"/>
        <color rgb="FFFF0000"/>
        <rFont val="Arial"/>
        <family val="0"/>
        <charset val="1"/>
      </rPr>
      <t xml:space="preserve">Enpresen jasangarriko inbertsioei buruzko zatira handiena</t>
    </r>
    <r>
      <rPr>
        <sz val="9"/>
        <color theme="1"/>
        <rFont val="Arial"/>
        <family val="0"/>
        <charset val="1"/>
      </rPr>
      <t xml:space="preserve"> (1.369 milioi euro) dago, energia berriztagarriak eta mugikortasun jasangarriko jarduerak sustatzeko.
Hipoteka Berdea deitutako mailegu bereziarekin, Kutxabankek etxebizitzak erosten duten bezeroei laguntzen saiatzen da. Mailegu hori sinatu d</t>
    </r>
    <r>
      <rPr>
        <sz val="9"/>
        <color rgb="FFFF0000"/>
        <rFont val="Arial"/>
        <family val="0"/>
        <charset val="1"/>
      </rPr>
      <t xml:space="preserve">utenentzat,</t>
    </r>
    <r>
      <rPr>
        <sz val="9"/>
        <color theme="1"/>
        <rFont val="Arial"/>
        <family val="0"/>
        <charset val="1"/>
      </rPr>
      <t xml:space="preserve"> 721 milioi euro utzi dizkie bankua, eta energia ziurtagiririk onena duten etxeetarako baldintza bereziak eskaintzen ditu.
Kontsumorako kredituetan ere, Kutxabankek jasangarritasun irizpideak finkatu ditu. Auto elektriko eta hibridoak erosten dutenentzat</t>
    </r>
    <r>
      <rPr>
        <sz val="9"/>
        <color rgb="FFFF0000"/>
        <rFont val="Arial"/>
        <family val="0"/>
        <charset val="1"/>
      </rPr>
      <t xml:space="preserve">,</t>
    </r>
    <r>
      <rPr>
        <sz val="9"/>
        <color theme="1"/>
        <rFont val="Arial"/>
        <family val="0"/>
        <charset val="1"/>
      </rPr>
      <t xml:space="preserve"> 25 milioi euroren maileguak eman zituen 2023an, </t>
    </r>
    <r>
      <rPr>
        <sz val="9"/>
        <color rgb="FFFF0000"/>
        <rFont val="Arial"/>
        <family val="0"/>
        <charset val="1"/>
      </rPr>
      <t xml:space="preserve">jasangarritasunaren bidez</t>
    </r>
    <r>
      <rPr>
        <sz val="9"/>
        <color theme="1"/>
        <rFont val="Arial"/>
        <family val="0"/>
        <charset val="1"/>
      </rPr>
      <t xml:space="preserve">.
Horrela, Kutxabank</t>
    </r>
    <r>
      <rPr>
        <sz val="9"/>
        <color rgb="FFFF0000"/>
        <rFont val="Arial"/>
        <family val="0"/>
        <charset val="1"/>
      </rPr>
      <t xml:space="preserve">ek</t>
    </r>
    <r>
      <rPr>
        <sz val="9"/>
        <color theme="1"/>
        <rFont val="Arial"/>
        <family val="0"/>
        <charset val="1"/>
      </rPr>
      <t xml:space="preserve"> bere barne irizpideak betetzen dituzten jasangarriko proiektuetan laguntza handia eskaintzen saiatzen da, eta </t>
    </r>
    <r>
      <rPr>
        <sz val="9"/>
        <color rgb="FFFF0000"/>
        <rFont val="Arial"/>
        <family val="0"/>
        <charset val="1"/>
      </rPr>
      <t xml:space="preserve">horren bidez ekonomiaren garapenerako uler bat ematen du.</t>
    </r>
  </si>
  <si>
    <r>
      <rPr>
        <sz val="9"/>
        <color theme="1"/>
        <rFont val="Arial"/>
        <family val="0"/>
        <charset val="1"/>
      </rPr>
      <t xml:space="preserve">**Zer:** Kutxabankek jasangarritasunerako proiektuak finantzatzeko 2.116 milioi euro jarri ditu.
**Nork:** Kutxabankek, </t>
    </r>
    <r>
      <rPr>
        <sz val="9"/>
        <color rgb="FFFF0000"/>
        <rFont val="Arial"/>
        <family val="0"/>
        <charset val="1"/>
      </rPr>
      <t xml:space="preserve">enpresen eta bezero partikularren</t>
    </r>
    <r>
      <rPr>
        <sz val="9"/>
        <color theme="1"/>
        <rFont val="Arial"/>
        <family val="0"/>
        <charset val="1"/>
      </rPr>
      <t xml:space="preserve"> laguntza eta finantzazioa eskaintzen </t>
    </r>
    <r>
      <rPr>
        <sz val="9"/>
        <color rgb="FFFF0000"/>
        <rFont val="Arial"/>
        <family val="0"/>
        <charset val="1"/>
      </rPr>
      <t xml:space="preserve">diote</t>
    </r>
    <r>
      <rPr>
        <sz val="9"/>
        <color theme="1"/>
        <rFont val="Arial"/>
        <family val="0"/>
        <charset val="1"/>
      </rPr>
      <t xml:space="preserve">.
**Noiz:** Iaz, azken aldiz 2023an, bankuak hipoteketan maileguetako diruaren %22.
**Non:** Proiektu horiek enpresetan, instalazioetan eta etxebizitzetan garatzen dira.
**Zergatik:** Jasangarritasun irizpideak betetzen dituzten proiektuak </t>
    </r>
    <r>
      <rPr>
        <sz val="9"/>
        <color rgb="FFFF0000"/>
        <rFont val="Arial"/>
        <family val="0"/>
        <charset val="1"/>
      </rPr>
      <t xml:space="preserve">sustatzen</t>
    </r>
    <r>
      <rPr>
        <sz val="9"/>
        <color theme="1"/>
        <rFont val="Arial"/>
        <family val="0"/>
        <charset val="1"/>
      </rPr>
      <t xml:space="preserve"> eta finantzatzeko. Horretarako, energia berriztagarriak sortzeko, mugikortasun jasangarriko jarduerak sustatzeko eta energetikoki eraginkorrak diren etxebizitzak sustatzeko inbertsioak egin behar dira.
**Nola:** Enpresek </t>
    </r>
    <r>
      <rPr>
        <sz val="9"/>
        <color rgb="FFFF0000"/>
        <rFont val="Arial"/>
        <family val="0"/>
        <charset val="1"/>
      </rPr>
      <t xml:space="preserve">jasotako</t>
    </r>
    <r>
      <rPr>
        <sz val="9"/>
        <color theme="1"/>
        <rFont val="Arial"/>
        <family val="0"/>
        <charset val="1"/>
      </rPr>
      <t xml:space="preserve"> mailegu handiena energia berriztagarriak sortzeko eta instalazioak jartzeko proiektuetan erabilita, eta hipoteka berdeak bezero </t>
    </r>
    <r>
      <rPr>
        <sz val="9"/>
        <color rgb="FFFF0000"/>
        <rFont val="Arial"/>
        <family val="0"/>
        <charset val="1"/>
      </rPr>
      <t xml:space="preserve">partikularren laguntza eskaintzen dute</t>
    </r>
    <r>
      <rPr>
        <sz val="9"/>
        <color theme="1"/>
        <rFont val="Arial"/>
        <family val="0"/>
        <charset val="1"/>
      </rPr>
      <t xml:space="preserve">. Kontsumorako kredituetan ere, jasangarritasun irizpideak finkatzen dira, eta auto elektrikoak eta hibridoak erosteko maileguak ematen dira.</t>
    </r>
  </si>
  <si>
    <r>
      <rPr>
        <sz val="9"/>
        <color theme="1"/>
        <rFont val="Arial"/>
        <family val="0"/>
        <charset val="1"/>
      </rPr>
      <t xml:space="preserve">Kutxabankek jasangarritasunerako proiektu</t>
    </r>
    <r>
      <rPr>
        <sz val="9"/>
        <color rgb="FFFF0000"/>
        <rFont val="Arial"/>
        <family val="0"/>
        <charset val="1"/>
      </rPr>
      <t xml:space="preserve">etan</t>
    </r>
    <r>
      <rPr>
        <sz val="9"/>
        <color theme="1"/>
        <rFont val="Arial"/>
        <family val="0"/>
        <charset val="1"/>
      </rPr>
      <t xml:space="preserve"> finantzatzeko 2.116 milioi euro jarri zituen iaz.
- Enpresek jasotako mailegu handiena (1.369 milioi euro) energia berriztagarriak sortzeko eta instalazioak jartzeko proiektuetan </t>
    </r>
    <r>
      <rPr>
        <sz val="9"/>
        <color rgb="FFFF0000"/>
        <rFont val="Arial"/>
        <family val="0"/>
        <charset val="1"/>
      </rPr>
      <t xml:space="preserve">sartzen dira</t>
    </r>
    <r>
      <rPr>
        <sz val="9"/>
        <color theme="1"/>
        <rFont val="Arial"/>
        <family val="0"/>
        <charset val="1"/>
      </rPr>
      <t xml:space="preserve">.
- Hipoteka Berdea deitutako mailegu berezi bat dago </t>
    </r>
    <r>
      <rPr>
        <sz val="9"/>
        <color rgb="FFFF0000"/>
        <rFont val="Arial"/>
        <family val="0"/>
        <charset val="1"/>
      </rPr>
      <t xml:space="preserve">azken etxebizitza erosten duten bezero partikularrei.</t>
    </r>
    <r>
      <rPr>
        <sz val="9"/>
        <color theme="1"/>
        <rFont val="Arial"/>
        <family val="0"/>
        <charset val="1"/>
      </rPr>
      <t xml:space="preserve"> 721 milioi euro utzi dizkie, </t>
    </r>
    <r>
      <rPr>
        <sz val="9"/>
        <color rgb="FFFF0000"/>
        <rFont val="Arial"/>
        <family val="0"/>
        <charset val="1"/>
      </rPr>
      <t xml:space="preserve">eta 2023an hipoteketan maileguetako</t>
    </r>
    <r>
      <rPr>
        <sz val="9"/>
        <color theme="1"/>
        <rFont val="Arial"/>
        <family val="0"/>
        <charset val="1"/>
      </rPr>
      <t xml:space="preserve"> diruaren %22.
- Kontsumorako kredituetan ere jasangarritasun irizpideak finkatu ditu Kutxabankek, eta auto elektrikoak eta hibridoak erosten dutenentzat maileguak eman zituen.</t>
    </r>
  </si>
  <si>
    <r>
      <rPr>
        <sz val="9"/>
        <color rgb="FFB7B7B7"/>
        <rFont val="Arial"/>
        <family val="0"/>
        <charset val="1"/>
      </rPr>
      <t xml:space="preserve">Hemen duzu laburpena:
</t>
    </r>
    <r>
      <rPr>
        <sz val="9"/>
        <color theme="1"/>
        <rFont val="Arial"/>
        <family val="0"/>
        <charset val="1"/>
      </rPr>
      <t xml:space="preserve">
"Euskal Herriko gastronomia sektoreko profesionalak eta ekoizleak Arkautin bildu ziren, Nekazaritzako Elikagaien campusean, Euskal Gastronomiaren Topaketaren hirugarren aldia </t>
    </r>
    <r>
      <rPr>
        <sz val="9"/>
        <color rgb="FFFF0000"/>
        <rFont val="Arial"/>
        <family val="0"/>
        <charset val="1"/>
      </rPr>
      <t xml:space="preserve">ospatzen</t>
    </r>
    <r>
      <rPr>
        <sz val="9"/>
        <color theme="1"/>
        <rFont val="Arial"/>
        <family val="0"/>
        <charset val="1"/>
      </rPr>
      <t xml:space="preserve">. </t>
    </r>
    <r>
      <rPr>
        <sz val="9"/>
        <color rgb="FFFF0000"/>
        <rFont val="Arial"/>
        <family val="0"/>
        <charset val="1"/>
      </rPr>
      <t xml:space="preserve">Publiko osatzaile</t>
    </r>
    <r>
      <rPr>
        <sz val="9"/>
        <color theme="1"/>
        <rFont val="Arial"/>
        <family val="0"/>
        <charset val="1"/>
      </rPr>
      <t xml:space="preserve"> handia, 250 baino gehiago, </t>
    </r>
    <r>
      <rPr>
        <sz val="9"/>
        <color rgb="FFFF0000"/>
        <rFont val="Arial"/>
        <family val="0"/>
        <charset val="1"/>
      </rPr>
      <t xml:space="preserve">baporen atarian hasi ziren, Edorta Lamo jatetxearen arretan.
</t>
    </r>
    <r>
      <rPr>
        <sz val="9"/>
        <color theme="1"/>
        <rFont val="Arial"/>
        <family val="0"/>
        <charset val="1"/>
      </rPr>
      <t xml:space="preserve">
Egunean, hitzaldiak, tailerak eta emanaldiak egin ziren, Euskal gastronomiaren etorkizunari buruzko hitz egin zituzten profesional</t>
    </r>
    <r>
      <rPr>
        <sz val="9"/>
        <color rgb="FFFF0000"/>
        <rFont val="Arial"/>
        <family val="0"/>
        <charset val="1"/>
      </rPr>
      <t xml:space="preserve">ak</t>
    </r>
    <r>
      <rPr>
        <sz val="9"/>
        <color theme="1"/>
        <rFont val="Arial"/>
        <family val="0"/>
        <charset val="1"/>
      </rPr>
      <t xml:space="preserve">. Aitor Arre</t>
    </r>
    <r>
      <rPr>
        <sz val="9"/>
        <color rgb="FFFF0000"/>
        <rFont val="Arial"/>
        <family val="0"/>
        <charset val="1"/>
      </rPr>
      <t xml:space="preserve">gi, Maider Martinez, Anna Montserrate eta Alatz Bilbao,</t>
    </r>
    <r>
      <rPr>
        <sz val="9"/>
        <color theme="1"/>
        <rFont val="Arial"/>
        <family val="0"/>
        <charset val="1"/>
      </rPr>
      <t xml:space="preserve"> sektoreko ikuspegiak eta esperientziak partekatuz, elkarren arteko harremana nabarmendu zuten.
Hitzaldiak amaituta, gastronomia azoka hasi zen, sukaldari gazteak </t>
    </r>
    <r>
      <rPr>
        <sz val="9"/>
        <color rgb="FFFF0000"/>
        <rFont val="Arial"/>
        <family val="0"/>
        <charset val="1"/>
      </rPr>
      <t xml:space="preserve">berritzaile</t>
    </r>
    <r>
      <rPr>
        <sz val="9"/>
        <color theme="1"/>
        <rFont val="Arial"/>
        <family val="0"/>
        <charset val="1"/>
      </rPr>
      <t xml:space="preserve"> pintxoak aurkeztu zituzten. Amuarrainak, marrubiak eta Euskal Ogien ogiak erabiliz, </t>
    </r>
    <r>
      <rPr>
        <sz val="9"/>
        <color rgb="FFFF0000"/>
        <rFont val="Arial"/>
        <family val="0"/>
        <charset val="1"/>
      </rPr>
      <t xml:space="preserve">jendea irentsi eta poztu zuten.
</t>
    </r>
    <r>
      <rPr>
        <sz val="9"/>
        <color theme="1"/>
        <rFont val="Arial"/>
        <family val="0"/>
        <charset val="1"/>
      </rPr>
      <t xml:space="preserve">
Roberto Rui</t>
    </r>
    <r>
      <rPr>
        <sz val="9"/>
        <color rgb="FFFF0000"/>
        <rFont val="Arial"/>
        <family val="0"/>
        <charset val="1"/>
      </rPr>
      <t xml:space="preserve">z</t>
    </r>
    <r>
      <rPr>
        <sz val="9"/>
        <color theme="1"/>
        <rFont val="Arial"/>
        <family val="0"/>
        <charset val="1"/>
      </rPr>
      <t xml:space="preserve">, Hika txakolindegiko sukaldaria, </t>
    </r>
    <r>
      <rPr>
        <sz val="9"/>
        <color rgb="FFFF0000"/>
        <rFont val="Arial"/>
        <family val="0"/>
        <charset val="1"/>
      </rPr>
      <t xml:space="preserve">bazkariaz zerikusia zuen</t>
    </r>
    <r>
      <rPr>
        <sz val="9"/>
        <color theme="1"/>
        <rFont val="Arial"/>
        <family val="0"/>
        <charset val="1"/>
      </rPr>
      <t xml:space="preserve"> eta irribarrez hitz egin zuen, topaketaren garrantzia eta etorkizuneko beharrak azpimarratu zituen.
Gonbidatuek, 250 profesionalek, etorkizun bat ikusi zuten, zaporez eta sormenez betetako gastronomia, eta elkarrekin partekatzeko espazioak sortu zituzten.</t>
    </r>
    <r>
      <rPr>
        <i val="true"/>
        <sz val="9"/>
        <color theme="1"/>
        <rFont val="Arial"/>
        <family val="0"/>
        <charset val="1"/>
      </rPr>
      <t xml:space="preserve"> </t>
    </r>
    <r>
      <rPr>
        <i val="true"/>
        <strike val="true"/>
        <sz val="9"/>
        <color theme="1"/>
        <rFont val="Arial"/>
        <family val="0"/>
        <charset val="1"/>
      </rPr>
      <t xml:space="preserve">Horrelako topaketak, tradizio eta modernitatearen batua, garrantzitsua izan </t>
    </r>
    <r>
      <rPr>
        <i val="true"/>
        <strike val="true"/>
        <sz val="9"/>
        <color rgb="FFFF0000"/>
        <rFont val="Arial"/>
        <family val="0"/>
        <charset val="1"/>
      </rPr>
      <t xml:space="preserve">daude</t>
    </r>
    <r>
      <rPr>
        <i val="true"/>
        <strike val="true"/>
        <sz val="9"/>
        <color theme="1"/>
        <rFont val="Arial"/>
        <family val="0"/>
        <charset val="1"/>
      </rPr>
      <t xml:space="preserve"> Euskal gastronomiaren garapenaren bidean.</t>
    </r>
    <r>
      <rPr>
        <strike val="true"/>
        <sz val="9"/>
        <color theme="1"/>
        <rFont val="Arial"/>
        <family val="0"/>
        <charset val="1"/>
      </rPr>
      <t xml:space="preserve">"</t>
    </r>
  </si>
  <si>
    <r>
      <rPr>
        <sz val="9"/>
        <color rgb="FFFF0000"/>
        <rFont val="Arial"/>
        <family val="0"/>
        <charset val="1"/>
      </rPr>
      <t xml:space="preserve">Ondo zein den hurrengo testuaren edukirik garrantzitsuena:
</t>
    </r>
    <r>
      <rPr>
        <sz val="9"/>
        <color theme="1"/>
        <rFont val="Arial"/>
        <family val="0"/>
        <charset val="1"/>
      </rPr>
      <t xml:space="preserve">
</t>
    </r>
    <r>
      <rPr>
        <sz val="9"/>
        <color rgb="FFB7B7B7"/>
        <rFont val="Arial"/>
        <family val="0"/>
        <charset val="1"/>
      </rPr>
      <t xml:space="preserve">"Hasi da hartu-emana. Denek nabarmendu dute elkarren beharra: ekoizleek jatetxeak behar dituzte, eta alderantziz. «Nik Whatsappez hitz egiten dut nire bezeroekin; gertukoa da harremana», hasi da Martinez artzaina. Montserratek gauza bera egiten du ogiarekin. Eta, nola ez, sukaldariek badakite horri esker bermatzen dutela euren jatetxeetako plateren kalitate gorena. «Hasieratik saretu nintzen inguruko ekoizleekin. Oraindik gehiago ezagutu nahi ditut; beraz, publikoan norbait badago, badaki», esan du Bilbaok, barrez. Arregi da beteranoena, eta ondo ezagutzen du arraina ekartzen dion arrantzalea. Eztabaida sortzetik urrun, beraz, batak bestearen lana goraipatu du."
</t>
    </r>
    <r>
      <rPr>
        <sz val="9"/>
        <color theme="1"/>
        <rFont val="Arial"/>
        <family val="0"/>
        <charset val="1"/>
      </rPr>
      <t xml:space="preserve">
Laburtu testua erabiliz:
"Euskal gastronomia ospatu ez ezik, zaporez eta sormenez betetako etorkizun bat irudikatu dute 250 gonbidatuek. Aurrerantzean, aurreikuspenak beteko diren ikusi beharko da; baina ezagutu, behintzat, ezagutuko dituzte."
Testu honetan, "elkarren beharra" eta "elkarrekin partekatzeko espazioak" bezala, elkartasun eta elkarbideak nabarmendu dira. Horietako batzuk dira: ekoizle eta jatetxeko arteko harreman gertu eta garrantzitsua, sukaldari eta ekoizle arteko sarea eta elkar uleraketa, eta, gazte eta betereko profesionalen arteko eztabaida eta lana goraipatzeko gogoa.
Laburtu testuan, etorkizun positibo eta esperantza-indartsu bat aurkeztzen dute, eta etorkizun horretan gazte eta beterekoen arteko elkarbideak eta elkar uleraketa garrantzitsua izan behar duela nabarmendu dute.</t>
    </r>
  </si>
  <si>
    <r>
      <rPr>
        <sz val="9"/>
        <color theme="1"/>
        <rFont val="Arial"/>
        <family val="0"/>
        <charset val="1"/>
      </rPr>
      <t xml:space="preserve">- **Zer?** Topaketa honek Euskal Herriko gastronomia sektoreko profesionalei eta ekoizleei espazioa ematen die elkarrekin harremanetan sar </t>
    </r>
    <r>
      <rPr>
        <sz val="9"/>
        <color rgb="FFFF0000"/>
        <rFont val="Arial"/>
        <family val="0"/>
        <charset val="1"/>
      </rPr>
      <t xml:space="preserve">dezaten </t>
    </r>
    <r>
      <rPr>
        <sz val="9"/>
        <color theme="1"/>
        <rFont val="Arial"/>
        <family val="0"/>
        <charset val="1"/>
      </rPr>
      <t xml:space="preserve">eta etorkizunari buruzko eztabaida </t>
    </r>
    <r>
      <rPr>
        <sz val="9"/>
        <color rgb="FFFF0000"/>
        <rFont val="Arial"/>
        <family val="0"/>
        <charset val="1"/>
      </rPr>
      <t xml:space="preserve">bultzatzen</t>
    </r>
    <r>
      <rPr>
        <sz val="9"/>
        <color theme="1"/>
        <rFont val="Arial"/>
        <family val="0"/>
        <charset val="1"/>
      </rPr>
      <t xml:space="preserve">.
- **Nork?** </t>
    </r>
    <r>
      <rPr>
        <sz val="9"/>
        <color rgb="FFFF0000"/>
        <rFont val="Arial"/>
        <family val="0"/>
        <charset val="1"/>
      </rPr>
      <t xml:space="preserve">250 baino gehiago</t>
    </r>
    <r>
      <rPr>
        <sz val="9"/>
        <color theme="1"/>
        <rFont val="Arial"/>
        <family val="0"/>
        <charset val="1"/>
      </rPr>
      <t xml:space="preserve"> gastronomia sektoreko profesionalek osatzen dute topaketara joaten diren publikoa. Araba eta Euskal Herriko sukaldaritzako profesionalak, ekoizleak, artzainak, arrantzaleak eta </t>
    </r>
    <r>
      <rPr>
        <strike val="true"/>
        <sz val="9"/>
        <color theme="1"/>
        <rFont val="Arial"/>
        <family val="0"/>
        <charset val="1"/>
      </rPr>
      <t xml:space="preserve">jatetxeetako bezeroak</t>
    </r>
    <r>
      <rPr>
        <sz val="9"/>
        <color theme="1"/>
        <rFont val="Arial"/>
        <family val="0"/>
        <charset val="1"/>
      </rPr>
      <t xml:space="preserve"> ere parte hartzen dute.
- **Noiz?** </t>
    </r>
    <r>
      <rPr>
        <i val="true"/>
        <sz val="9"/>
        <color theme="1"/>
        <rFont val="Arial"/>
        <family val="0"/>
        <charset val="1"/>
      </rPr>
      <t xml:space="preserve">Topaketa hurrengo astelehenean egingo da</t>
    </r>
    <r>
      <rPr>
        <sz val="9"/>
        <color theme="1"/>
        <rFont val="Arial"/>
        <family val="0"/>
        <charset val="1"/>
      </rPr>
      <t xml:space="preserve">, Nekazaritzako Elikagaien campusean.
- **Non?** Arkauti (Araba) izango da topaketaren </t>
    </r>
    <r>
      <rPr>
        <sz val="9"/>
        <color rgb="FFFF0000"/>
        <rFont val="Arial"/>
        <family val="0"/>
        <charset val="1"/>
      </rPr>
      <t xml:space="preserve">ospetsua</t>
    </r>
    <r>
      <rPr>
        <sz val="9"/>
        <color theme="1"/>
        <rFont val="Arial"/>
        <family val="0"/>
        <charset val="1"/>
      </rPr>
      <t xml:space="preserve">, hain zuzen ere, Euskal Gastronomiaren Topaketaren hirugarren aldia antolatu dute.
- **Zergatik?** Topaketa honek bultzatzen du etorkizunari buruzko eztabaida eta elkarrekin harremanetan sar </t>
    </r>
    <r>
      <rPr>
        <sz val="9"/>
        <color rgb="FFFF0000"/>
        <rFont val="Arial"/>
        <family val="0"/>
        <charset val="1"/>
      </rPr>
      <t xml:space="preserve">dezateko</t>
    </r>
    <r>
      <rPr>
        <sz val="9"/>
        <color theme="1"/>
        <rFont val="Arial"/>
        <family val="0"/>
        <charset val="1"/>
      </rPr>
      <t xml:space="preserve"> </t>
    </r>
    <r>
      <rPr>
        <sz val="9"/>
        <color rgb="FFFF0000"/>
        <rFont val="Arial"/>
        <family val="0"/>
        <charset val="1"/>
      </rPr>
      <t xml:space="preserve">aukera emateko.</t>
    </r>
    <r>
      <rPr>
        <sz val="9"/>
        <color theme="1"/>
        <rFont val="Arial"/>
        <family val="0"/>
        <charset val="1"/>
      </rPr>
      <t xml:space="preserve"> Euskal gastronomiaren garapena eta etorkizun handia irudikatzen dute, eta horretarako </t>
    </r>
    <r>
      <rPr>
        <sz val="9"/>
        <color rgb="FFFF0000"/>
        <rFont val="Arial"/>
        <family val="0"/>
        <charset val="1"/>
      </rPr>
      <t xml:space="preserve">agerian dute harremanetan sareta eta elkarrekin lan egitea.
</t>
    </r>
    <r>
      <rPr>
        <sz val="9"/>
        <color theme="1"/>
        <rFont val="Arial"/>
        <family val="0"/>
        <charset val="1"/>
      </rPr>
      <t xml:space="preserve">- **Nola?** Topaketaren programan mahai inguruak, hitzaldiak, tailerak eta eman aldiak barne</t>
    </r>
    <r>
      <rPr>
        <sz val="9"/>
        <color rgb="FFFF0000"/>
        <rFont val="Arial"/>
        <family val="0"/>
        <charset val="1"/>
      </rPr>
      <t xml:space="preserve"> ukatuta dira</t>
    </r>
    <r>
      <rPr>
        <sz val="9"/>
        <color theme="1"/>
        <rFont val="Arial"/>
        <family val="0"/>
        <charset val="1"/>
      </rPr>
      <t xml:space="preserve">. Sukaldaritzako profesional</t>
    </r>
    <r>
      <rPr>
        <sz val="9"/>
        <color rgb="FFFF0000"/>
        <rFont val="Arial"/>
        <family val="0"/>
        <charset val="1"/>
      </rPr>
      <t xml:space="preserve">ak</t>
    </r>
    <r>
      <rPr>
        <sz val="9"/>
        <color theme="1"/>
        <rFont val="Arial"/>
        <family val="0"/>
        <charset val="1"/>
      </rPr>
      <t xml:space="preserve">, ekoizle</t>
    </r>
    <r>
      <rPr>
        <sz val="9"/>
        <color rgb="FFFF0000"/>
        <rFont val="Arial"/>
        <family val="0"/>
        <charset val="1"/>
      </rPr>
      <t xml:space="preserve">ak</t>
    </r>
    <r>
      <rPr>
        <sz val="9"/>
        <color theme="1"/>
        <rFont val="Arial"/>
        <family val="0"/>
        <charset val="1"/>
      </rPr>
      <t xml:space="preserve"> eta jatetxeetako </t>
    </r>
    <r>
      <rPr>
        <strike val="true"/>
        <sz val="9"/>
        <color theme="1"/>
        <rFont val="Arial"/>
        <family val="0"/>
        <charset val="1"/>
      </rPr>
      <t xml:space="preserve">bezeroak</t>
    </r>
    <r>
      <rPr>
        <sz val="9"/>
        <color theme="1"/>
        <rFont val="Arial"/>
        <family val="0"/>
        <charset val="1"/>
      </rPr>
      <t xml:space="preserve"> bat egin dute, eta etorkizunari buruzko ikuspegiak partekatu eta eztabaidatu dira. Ondoren, gastronomia azoka antolatu dute, non </t>
    </r>
    <r>
      <rPr>
        <sz val="9"/>
        <color rgb="FFFF0000"/>
        <rFont val="Arial"/>
        <family val="0"/>
        <charset val="1"/>
      </rPr>
      <t xml:space="preserve">sukaldari gazteak eta profesionalak berrien elaborazioak eta pintxo berritzaileak aurkeztu dute.</t>
    </r>
    <r>
      <rPr>
        <sz val="9"/>
        <color theme="1"/>
        <rFont val="Arial"/>
        <family val="0"/>
        <charset val="1"/>
      </rPr>
      <t xml:space="preserve"> </t>
    </r>
    <r>
      <rPr>
        <sz val="9"/>
        <color rgb="FFFF0000"/>
        <rFont val="Arial"/>
        <family val="0"/>
        <charset val="1"/>
      </rPr>
      <t xml:space="preserve">Bazkariaz amaitzeko</t>
    </r>
    <r>
      <rPr>
        <sz val="9"/>
        <color theme="1"/>
        <rFont val="Arial"/>
        <family val="0"/>
        <charset val="1"/>
      </rPr>
      <t xml:space="preserve">, Roberto Ruizek irribar eta energia baliagarriak </t>
    </r>
    <r>
      <rPr>
        <sz val="9"/>
        <color rgb="FFFF0000"/>
        <rFont val="Arial"/>
        <family val="0"/>
        <charset val="1"/>
      </rPr>
      <t xml:space="preserve">eskaini ditzakeen etorkizun berria irudikatzen diote.
</t>
    </r>
    <r>
      <rPr>
        <sz val="9"/>
        <color theme="1"/>
        <rFont val="Arial"/>
        <family val="0"/>
        <charset val="1"/>
      </rPr>
      <t xml:space="preserve">
Topaketa honek Euskal Herriko gastronomiaren garapena sustatzeko</t>
    </r>
    <r>
      <rPr>
        <sz val="9"/>
        <color rgb="FFFF0000"/>
        <rFont val="Arial"/>
        <family val="0"/>
        <charset val="1"/>
      </rPr>
      <t xml:space="preserve"> ahalegina egin d</t>
    </r>
    <r>
      <rPr>
        <sz val="9"/>
        <color theme="1"/>
        <rFont val="Arial"/>
        <family val="0"/>
        <charset val="1"/>
      </rPr>
      <t xml:space="preserve">u, eta parte hartzaile guztiak etorkizun berria</t>
    </r>
    <r>
      <rPr>
        <sz val="9"/>
        <color rgb="FFFF0000"/>
        <rFont val="Arial"/>
        <family val="0"/>
        <charset val="1"/>
      </rPr>
      <t xml:space="preserve"> eraikitzeko bidean lagun ditzaten.</t>
    </r>
  </si>
  <si>
    <r>
      <rPr>
        <sz val="9"/>
        <color theme="1"/>
        <rFont val="Arial"/>
        <family val="0"/>
        <charset val="1"/>
      </rPr>
      <t xml:space="preserve">The third edition of the Euskal Gastronomiaren Topaketa took place in Arkaute, Álava, bringing together over 250 professionals from the culinary and agricultural sectors of the Basque Country. The event, </t>
    </r>
    <r>
      <rPr>
        <strike val="true"/>
        <sz val="9"/>
        <color theme="1"/>
        <rFont val="Arial"/>
        <family val="0"/>
        <charset val="1"/>
      </rPr>
      <t xml:space="preserve">organized by chef Edorta Lamo</t>
    </r>
    <r>
      <rPr>
        <sz val="9"/>
        <color theme="1"/>
        <rFont val="Arial"/>
        <family val="0"/>
        <charset val="1"/>
      </rPr>
      <t xml:space="preserve">, aimed to unite the gastronomic sector of Álava with the rest of the Basque Country and reflect on the future of the industry. 
The day began with a warm and enthusiastic atmosphere, with the public eagerly awaiting the various activities. The program included talks, workshops, and cultural events, all centered around the Basque gastronomic community. The talks focused on the future of the sector, with experts like Aitor Arregi, Maider Martinez, Anna Montserrat, and Alatz Bilbao sharing their insights. 
The day continued with a gastronomic fair, where young chefs from the Gastro Gaztea community showcased their innovative pincho creations, featuring ingredients </t>
    </r>
    <r>
      <rPr>
        <strike val="true"/>
        <sz val="9"/>
        <color theme="1"/>
        <rFont val="Arial"/>
        <family val="0"/>
        <charset val="1"/>
      </rPr>
      <t xml:space="preserve">like amaranth and seaweed</t>
    </r>
    <r>
      <rPr>
        <sz val="9"/>
        <color theme="1"/>
        <rFont val="Arial"/>
        <family val="0"/>
        <charset val="1"/>
      </rPr>
      <t xml:space="preserve">. There was also a presence of traditional Basque products like </t>
    </r>
    <r>
      <rPr>
        <strike val="true"/>
        <sz val="9"/>
        <color theme="1"/>
        <rFont val="Arial"/>
        <family val="0"/>
        <charset val="1"/>
      </rPr>
      <t xml:space="preserve">Idiazabal cheese</t>
    </r>
    <r>
      <rPr>
        <sz val="9"/>
        <color theme="1"/>
        <rFont val="Arial"/>
        <family val="0"/>
        <charset val="1"/>
      </rPr>
      <t xml:space="preserve"> and </t>
    </r>
    <r>
      <rPr>
        <strike val="true"/>
        <sz val="9"/>
        <color theme="1"/>
        <rFont val="Arial"/>
        <family val="0"/>
        <charset val="1"/>
      </rPr>
      <t xml:space="preserve">Mendialdeko Ogia</t>
    </r>
    <r>
      <rPr>
        <sz val="9"/>
        <color theme="1"/>
        <rFont val="Arial"/>
        <family val="0"/>
        <charset val="1"/>
      </rPr>
      <t xml:space="preserve">. The public actively engaged with the chefs, sampling their creations and expressing their delight. 
After the talks and fair, the guests gathered for a lunch coordinated by Roberto Ruiz, the chef of Hika Txakolina. Ruiz emphasized the importance of events like this, stating that they are a reference point for building the future of Basque cuisine by combining tradition and modernity. 
The </t>
    </r>
    <r>
      <rPr>
        <strike val="true"/>
        <sz val="9"/>
        <color theme="1"/>
        <rFont val="Arial"/>
        <family val="0"/>
        <charset val="1"/>
      </rPr>
      <t xml:space="preserve">250 attendees</t>
    </r>
    <r>
      <rPr>
        <sz val="9"/>
        <color theme="1"/>
        <rFont val="Arial"/>
        <family val="0"/>
        <charset val="1"/>
      </rPr>
      <t xml:space="preserve">, professionals from the gastronomic sector, celebrated not only the cuisine of the Basque Country but also its future, which they envision as one of flavor and innovation. While expectations for the future will undoubtedly be met, for now, they will enjoy the present and the connections made during this event. 
</t>
    </r>
    <r>
      <rPr>
        <sz val="9"/>
        <color rgb="FFB7B7B7"/>
        <rFont val="Arial"/>
        <family val="0"/>
        <charset val="1"/>
      </rPr>
      <t xml:space="preserve">TL;DR: The Euskal Gastronomiaren Topaketa united Basque culinary and agricultural professionals in Álava, reflecting on the industry's future and celebrating its present with talks, workshops, and a gastronomic fair.</t>
    </r>
  </si>
  <si>
    <r>
      <rPr>
        <sz val="9"/>
        <color rgb="FFB7B7B7"/>
        <rFont val="Arial"/>
        <family val="0"/>
        <charset val="1"/>
      </rPr>
      <t xml:space="preserve">Euskara, hurrengo testua:
</t>
    </r>
    <r>
      <rPr>
        <sz val="9"/>
        <color rgb="FF000000"/>
        <rFont val="Arial"/>
        <family val="0"/>
        <charset val="1"/>
      </rPr>
      <t xml:space="preserve">
OCHA</t>
    </r>
    <r>
      <rPr>
        <strike val="true"/>
        <sz val="9"/>
        <color rgb="FFFF0000"/>
        <rFont val="Arial"/>
        <family val="0"/>
        <charset val="1"/>
      </rPr>
      <t xml:space="preserve">-k aurkeztu duen Humanitario Gai Globalak</t>
    </r>
    <r>
      <rPr>
        <sz val="9"/>
        <color rgb="FF000000"/>
        <rFont val="Arial"/>
        <family val="0"/>
        <charset val="1"/>
      </rPr>
      <t xml:space="preserve">, Nazio Batuen Bulegoaren arabera, </t>
    </r>
    <r>
      <rPr>
        <sz val="9"/>
        <color rgb="FFFF0000"/>
        <rFont val="Arial"/>
        <family val="0"/>
        <charset val="1"/>
      </rPr>
      <t xml:space="preserve">adierazpen</t>
    </r>
    <r>
      <rPr>
        <sz val="9"/>
        <color rgb="FF000000"/>
        <rFont val="Arial"/>
        <family val="0"/>
        <charset val="1"/>
      </rPr>
      <t xml:space="preserve"> handia da 2024 urtearen aurrekontu humanitarioari buruz. Krisi</t>
    </r>
    <r>
      <rPr>
        <sz val="9"/>
        <color rgb="FFFF0000"/>
        <rFont val="Arial"/>
        <family val="0"/>
        <charset val="1"/>
      </rPr>
      <t xml:space="preserve">en</t>
    </r>
    <r>
      <rPr>
        <sz val="9"/>
        <color rgb="FF000000"/>
        <rFont val="Arial"/>
        <family val="0"/>
        <charset val="1"/>
      </rPr>
      <t xml:space="preserve"> eta gatazkak handitzen ari dira, eta eraginkortasun ekonomikoa eta klima larrialdia gero eta okerragoa egiten ari dira. Horregatik, OCHA-k 43.000 milioi euroko laguntza ekonomikoa eskatu du nazioartean, eta horren bidez, laguntza humanitarioa finantzatzea nahi du.
Martin Griffiths, NBEren Giza Gaietarako idazkariorde nagusia eta Larrialdi Laguntzako koordinatzailea, esan du: "Humanitarioek bizitzak salbatu eta sufrimendua arintzeko aukera dute, baina horretarako diru-laguntza bermatua behar da." Aurten, 299,4 milioi lagun beharrezko laguntza humanitarioa beharko dute, eta hainbat herrialdean, gerrak eta gatazkak handitzen ari dira.
Griffiths-ek adierazi du, 2023an, beharrezko funtsa jaso ez zuten, eta horregatik, 2024an, laguntza humanitarioa txikitu behar izan du. Baina, NBEren idazkariorde nagusia, horren gainetik ere, eskatu duen diru-laguntza massiboa lortu ez dezakeela, herrialde emaileetako zailtasun ekonomikoak delako.
Txostenak adierazi du, OCHA-k lan egin duen herrialde batzuek, bere egoera hobetzen ari direla, eta horien artean, Kenya, Pakistan eta Malawi daude. Baina, beste herrialde batzuek, gatazkak eta larrialdiak gero eta txikiagoa dute.
Hainbat herrialdean, elikagai laguntza murrizketak izan dira, eta milaka lagun gosete arriskuan geratu dira. Aterpeetarako funtsik ezak dira, eta horren eragin batez, milaka pertsona baldintza desegokietan bizi dira. Gainera, ur edangarriaren eta garbitasunaren falta, gaixotasun arriskua handitu du, kasurako, Yemenen.
Baina, Humanitario Gai Globalak, adierazi du, krisi humanitarioak jasan dituzten herrialde batzuek, bere egoera hobetzen ari direla, eta horien artean, Somalian eta Yemenen, erregai gehiago sartzen ari dira, eta merkataritza sustatzen ari dira.
OCHA-k esan du, beharrezko laguntza humanitarioa lortu ahal izateko, nazioarteko laguntza ekonomikoa beharrezkoa da, eta horretarako, "Invest in Humanity" ("Inbestitu Humanitatean") deia egin du.</t>
    </r>
  </si>
  <si>
    <r>
      <rPr>
        <sz val="9"/>
        <color rgb="FF999999"/>
        <rFont val="Arial"/>
        <family val="0"/>
        <charset val="1"/>
      </rPr>
      <t xml:space="preserve">Ondo zein den hurrengo testuaren edukirik garrantzitsuena:
</t>
    </r>
    <r>
      <rPr>
        <sz val="9"/>
        <color rgb="FF000000"/>
        <rFont val="Arial"/>
        <family val="0"/>
        <charset val="1"/>
      </rPr>
      <t xml:space="preserve">
"Humanitarioek bizitzak salbatu eta sufrimendua arindu dezakete modu egokian finantzatuta daudenean."
Laburtu testua edukirik garrantzitsuena:
"Ezin badugu laguntza hori eman, jendeak bere bizitzarekin ordainduko du."
</t>
    </r>
    <r>
      <rPr>
        <strike val="true"/>
        <sz val="9"/>
        <color rgb="FF000000"/>
        <rFont val="Arial"/>
        <family val="0"/>
        <charset val="1"/>
      </rPr>
      <t xml:space="preserve">Testu honetan, NBEren Giza Gaietarako idazkariorde nagusi eta Larrialdi Laguntzako koordinatzaile Martin Griffithsek</t>
    </r>
    <r>
      <rPr>
        <sz val="9"/>
        <color rgb="FF000000"/>
        <rFont val="Arial"/>
        <family val="0"/>
        <charset val="1"/>
      </rPr>
      <t xml:space="preserve">, alor humanitarioari dagokionez datorren urteko zailtasunak eta beharrak nabarmendu nahi ditu. Horretarako, 43.000 milioi euro eskatu dio nazioarteari, eta horren bidez, laguntza humanitarioa finantzatzea nahi du.
Laburtu testuan, Griffithsek adierazi du laguntza agentziak ezin izango duten laguntza bermatzea, eta horren ondorioz, jendeak bere bizitzarekin ordainduko dute. Hau da, alor humanitarioari dagokionez, diru kopuru handiagoa beharrezkoa dela eta, baina, zailtasun ekonomikoak diru hori bildu ahal izateko zailtasunak sortzen ari dira.
Ondo zein den edukia, alor humanitarioari dagokionez NBEren eragile nagusien hitzak eta beharrak nabarmendu nahi ditu, eta laburtu edukia, zailtasun ekonomikoak sortzen ari diren ondorioak eta jendea bizitzarekin ordaindakoa izatea adierazi nahi du.</t>
    </r>
  </si>
  <si>
    <t xml:space="preserve"># Zer?
Nazio Batuen Erakundea 43.000 milioi euroko laguntza humanitarioa eskatu du nazioarteari, 2024 urtean behar izateko.
# Nork?
Martin Griffith, NBEren Giza Gaietarako idazkariorde nagusia eta Larrialdi Laguntzako koordinatzaileak, da laguntza humanitarioa eskatzeko deia egin duena.
# Noiz?
Datorren urtean, 2024an, beharrezko laguntza humanitarioa eskaintzeko deia egin da.
# Non?
Ekialde Hurbilean, Palestinan, Sirian, Ukrainan eta Sudanen, eta beste herrialde batzuean ere, beharrezko laguntza humanitarioa behar izaten dute.
# Zergatik?
Gerrak, gatazkak eta klima larrialdiak handitzen ari dira, eta horren ondorioz, milaka lagun beharrezko laguntza humanitarioa behar izaten dute.
# Nola?
NBEren erakundeak 43.000 milioi euroko laguntza eskatu du, baina zailtasun ekonomikoak duten herrialde batzuek zailtasunak izaten dute diru horren bilaketa. Horrez gain, laguntza sistemak geroz eta erronka gehiago dituzte, eta finantzaketa krisi handi bat aurre egin behar da.</t>
  </si>
  <si>
    <r>
      <rPr>
        <sz val="9"/>
        <color rgb="FF000000"/>
        <rFont val="Arial"/>
        <family val="0"/>
        <charset val="1"/>
      </rPr>
      <t xml:space="preserve">TL;DR: Nazio Batuen Erakundearen arabera, 2024 urtea </t>
    </r>
    <r>
      <rPr>
        <strike val="true"/>
        <sz val="9"/>
        <color rgb="FFFF0000"/>
        <rFont val="Arial"/>
        <family val="0"/>
        <charset val="1"/>
      </rPr>
      <t xml:space="preserve">alor humanitarioa aldarrikatzen duena</t>
    </r>
    <r>
      <rPr>
        <sz val="9"/>
        <color rgb="FF000000"/>
        <rFont val="Arial"/>
        <family val="0"/>
        <charset val="1"/>
      </rPr>
      <t xml:space="preserve"> izango da. Gerrak, klima larrialdiak eta egoera ekonomikoak okerrera egiten ari dira, eta laguntza beharrezkoak dira milaka lagunentzat. Martin Griffit</t>
    </r>
    <r>
      <rPr>
        <sz val="9"/>
        <color rgb="FFFF0000"/>
        <rFont val="Arial"/>
        <family val="0"/>
        <charset val="1"/>
      </rPr>
      <t xml:space="preserve">h</t>
    </r>
    <r>
      <rPr>
        <sz val="9"/>
        <color rgb="FF000000"/>
        <rFont val="Arial"/>
        <family val="0"/>
        <charset val="1"/>
      </rPr>
      <t xml:space="preserve">, NBEko idazkariorde nagusia, 43.000 milioi euroko laguntza eskatu du, baina zailtasun ekonomikoak duten herrialde batzuek zailtasunak izaten </t>
    </r>
    <r>
      <rPr>
        <sz val="9"/>
        <color rgb="FFFF0000"/>
        <rFont val="Arial"/>
        <family val="0"/>
        <charset val="1"/>
      </rPr>
      <t xml:space="preserve">dute diru horren bilaketa</t>
    </r>
    <r>
      <rPr>
        <sz val="9"/>
        <color rgb="FF000000"/>
        <rFont val="Arial"/>
        <family val="0"/>
        <charset val="1"/>
      </rPr>
      <t xml:space="preserve">. Laguntza sistemak geroz eta erronka gehiago dituzte, eta finantzaketa krisi handi </t>
    </r>
    <r>
      <rPr>
        <sz val="9"/>
        <color rgb="FFFF0000"/>
        <rFont val="Arial"/>
        <family val="0"/>
        <charset val="1"/>
      </rPr>
      <t xml:space="preserve">bat aurre egin behar da.</t>
    </r>
  </si>
  <si>
    <r>
      <rPr>
        <sz val="9"/>
        <color rgb="FF000000"/>
        <rFont val="Arial"/>
        <family val="0"/>
        <charset val="1"/>
      </rPr>
      <t xml:space="preserve">"Itsaso amniotikoa" liburua, Karmele Igartua</t>
    </r>
    <r>
      <rPr>
        <sz val="9"/>
        <color rgb="FFFF0000"/>
        <rFont val="Arial"/>
        <family val="0"/>
        <charset val="1"/>
      </rPr>
      <t xml:space="preserve">-ren</t>
    </r>
    <r>
      <rPr>
        <sz val="9"/>
        <color rgb="FF000000"/>
        <rFont val="Arial"/>
        <family val="0"/>
        <charset val="1"/>
      </rPr>
      <t xml:space="preserve"> sormen beka jaso zuen poema</t>
    </r>
    <r>
      <rPr>
        <sz val="9"/>
        <color rgb="FFFF0000"/>
        <rFont val="Arial"/>
        <family val="0"/>
        <charset val="1"/>
      </rPr>
      <t xml:space="preserve">-zibila</t>
    </r>
    <r>
      <rPr>
        <sz val="9"/>
        <color rgb="FF000000"/>
        <rFont val="Arial"/>
        <family val="0"/>
        <charset val="1"/>
      </rPr>
      <t xml:space="preserve">, Oihane Jaka Irizar</t>
    </r>
    <r>
      <rPr>
        <sz val="9"/>
        <color rgb="FFFF0000"/>
        <rFont val="Arial"/>
        <family val="0"/>
        <charset val="1"/>
      </rPr>
      <t xml:space="preserve">-en</t>
    </r>
    <r>
      <rPr>
        <sz val="9"/>
        <color rgb="FF000000"/>
        <rFont val="Arial"/>
        <family val="0"/>
        <charset val="1"/>
      </rPr>
      <t xml:space="preserve"> "minimalismo" estiloan idatzi da. Liburu honek</t>
    </r>
    <r>
      <rPr>
        <sz val="9"/>
        <color rgb="FFFF0000"/>
        <rFont val="Arial"/>
        <family val="0"/>
        <charset val="1"/>
      </rPr>
      <t xml:space="preserve">,</t>
    </r>
    <r>
      <rPr>
        <sz val="9"/>
        <color rgb="FF000000"/>
        <rFont val="Arial"/>
        <family val="0"/>
        <charset val="1"/>
      </rPr>
      <t xml:space="preserve"> hiru zati osatzen ditu: 11 urte, 11 hilabete eta 11 egun, hain zuzen. Jaka, Donostiako 1985ko jaioa, idazle eskolaren ikasle izan da, eta Tere Irastorza poeta eta irakasle baten laguntza eta </t>
    </r>
    <r>
      <rPr>
        <sz val="9"/>
        <color rgb="FFFF0000"/>
        <rFont val="Arial"/>
        <family val="0"/>
        <charset val="1"/>
      </rPr>
      <t xml:space="preserve">harremanak</t>
    </r>
    <r>
      <rPr>
        <sz val="9"/>
        <color rgb="FF000000"/>
        <rFont val="Arial"/>
        <family val="0"/>
        <charset val="1"/>
      </rPr>
      <t xml:space="preserve"> izan ditu.
"Minimalismoa" aipatu du Irastor</t>
    </r>
    <r>
      <rPr>
        <sz val="9"/>
        <color rgb="FFFF0000"/>
        <rFont val="Arial"/>
        <family val="0"/>
        <charset val="1"/>
      </rPr>
      <t xml:space="preserve">za</t>
    </r>
    <r>
      <rPr>
        <sz val="9"/>
        <color rgb="FF000000"/>
        <rFont val="Arial"/>
        <family val="0"/>
        <charset val="1"/>
      </rPr>
      <t xml:space="preserve">, eta Jaka</t>
    </r>
    <r>
      <rPr>
        <sz val="9"/>
        <color rgb="FFFF0000"/>
        <rFont val="Arial"/>
        <family val="0"/>
        <charset val="1"/>
      </rPr>
      <t xml:space="preserve">-ren</t>
    </r>
    <r>
      <rPr>
        <sz val="9"/>
        <color rgb="FF000000"/>
        <rFont val="Arial"/>
        <family val="0"/>
        <charset val="1"/>
      </rPr>
      <t xml:space="preserve"> lanak hizkuntza sinple eta elementu sinpleekin jolasten dituzten </t>
    </r>
    <r>
      <rPr>
        <sz val="9"/>
        <color rgb="FFFF0000"/>
        <rFont val="Arial"/>
        <family val="0"/>
        <charset val="1"/>
      </rPr>
      <t xml:space="preserve">jolasak dira.</t>
    </r>
    <r>
      <rPr>
        <sz val="9"/>
        <color rgb="FF000000"/>
        <rFont val="Arial"/>
        <family val="0"/>
        <charset val="1"/>
      </rPr>
      <t xml:space="preserve"> Liburuko zati </t>
    </r>
    <r>
      <rPr>
        <sz val="9"/>
        <color rgb="FFFF0000"/>
        <rFont val="Arial"/>
        <family val="0"/>
        <charset val="1"/>
      </rPr>
      <t xml:space="preserve">batzuk, </t>
    </r>
    <r>
      <rPr>
        <sz val="9"/>
        <color rgb="FF000000"/>
        <rFont val="Arial"/>
        <family val="0"/>
        <charset val="1"/>
      </rPr>
      <t xml:space="preserve">hizkuntza bera garrantzitsua da, eta "11" zenbakiaren eraginkortasun handia agertzen da. </t>
    </r>
    <r>
      <rPr>
        <sz val="9"/>
        <color rgb="FFFF0000"/>
        <rFont val="Arial"/>
        <family val="0"/>
        <charset val="1"/>
      </rPr>
      <t xml:space="preserve">Jaka, amatasunaz eta sena ageri ditu</t>
    </r>
    <r>
      <rPr>
        <sz val="9"/>
        <color rgb="FF000000"/>
        <rFont val="Arial"/>
        <family val="0"/>
        <charset val="1"/>
      </rPr>
      <t xml:space="preserve">, eta poema batean zuhaitzaren adarra erakusten dio, </t>
    </r>
    <r>
      <rPr>
        <strike val="true"/>
        <sz val="9"/>
        <color rgb="FFFF0000"/>
        <rFont val="Arial"/>
        <family val="0"/>
        <charset val="1"/>
      </rPr>
      <t xml:space="preserve">adarra bere burua adierazten duena</t>
    </r>
    <r>
      <rPr>
        <sz val="9"/>
        <color rgb="FF000000"/>
        <rFont val="Arial"/>
        <family val="0"/>
        <charset val="1"/>
      </rPr>
      <t xml:space="preserve">.
Lehen zati, 11 urte, heriotzaz hasi da, eta 11 hilabetean haurdunaldiari buruzko poemak agertzen dira. 11 egun zatiarekin, erditzeari eta erditze ondoko egunean oinarritzen da, eta desioak eta </t>
    </r>
    <r>
      <rPr>
        <strike val="true"/>
        <sz val="9"/>
        <color rgb="FF000000"/>
        <rFont val="Arial"/>
        <family val="0"/>
        <charset val="1"/>
      </rPr>
      <t xml:space="preserve">galdera</t>
    </r>
    <r>
      <rPr>
        <sz val="9"/>
        <color rgb="FF000000"/>
        <rFont val="Arial"/>
        <family val="0"/>
        <charset val="1"/>
      </rPr>
      <t xml:space="preserve"> batzuk agertzen dira. Hirugarren zati, mardulena, erditze prozesari buruzko gai batzuk aipatzen</t>
    </r>
    <r>
      <rPr>
        <sz val="9"/>
        <color rgb="FFFF0000"/>
        <rFont val="Arial"/>
        <family val="0"/>
        <charset val="1"/>
      </rPr>
      <t xml:space="preserve"> ditu</t>
    </r>
    <r>
      <rPr>
        <sz val="9"/>
        <color rgb="FF000000"/>
        <rFont val="Arial"/>
        <family val="0"/>
        <charset val="1"/>
      </rPr>
      <t xml:space="preserve">, eta zuhaitz eta matrioxka metaforak erabiliz, </t>
    </r>
    <r>
      <rPr>
        <sz val="9"/>
        <color rgb="FFFF0000"/>
        <rFont val="Arial"/>
        <family val="0"/>
        <charset val="1"/>
      </rPr>
      <t xml:space="preserve">Jaka, amaren bidean dauden bide baten baliagarriak adierazten ditu</t>
    </r>
    <r>
      <rPr>
        <sz val="9"/>
        <color rgb="FF000000"/>
        <rFont val="Arial"/>
        <family val="0"/>
        <charset val="1"/>
      </rPr>
      <t xml:space="preserve">.
Oihane Jaka</t>
    </r>
    <r>
      <rPr>
        <sz val="9"/>
        <color rgb="FFFF0000"/>
        <rFont val="Arial"/>
        <family val="0"/>
        <charset val="1"/>
      </rPr>
      <t xml:space="preserve">-k</t>
    </r>
    <r>
      <rPr>
        <sz val="9"/>
        <color rgb="FF000000"/>
        <rFont val="Arial"/>
        <family val="0"/>
        <charset val="1"/>
      </rPr>
      <t xml:space="preserve">, bi trantsizioa sortzen dituen liburua idatzi du: heriotzatik bizitzarakoa eta alabaren bizipenetatik amarenetarakoa. Bi metafora nagusi baliatzen ditu: zuhaitzaren uztaia eta matrioxka. Irastor</t>
    </r>
    <r>
      <rPr>
        <sz val="9"/>
        <color rgb="FFFF0000"/>
        <rFont val="Arial"/>
        <family val="0"/>
        <charset val="1"/>
      </rPr>
      <t xml:space="preserve">za,</t>
    </r>
    <r>
      <rPr>
        <strike val="true"/>
        <sz val="9"/>
        <color rgb="FF000000"/>
        <rFont val="Arial"/>
        <family val="0"/>
        <charset val="1"/>
      </rPr>
      <t xml:space="preserve"> zuhaitzak erditzen ari direla esan du</t>
    </r>
    <r>
      <rPr>
        <sz val="9"/>
        <color rgb="FF000000"/>
        <rFont val="Arial"/>
        <family val="0"/>
        <charset val="1"/>
      </rPr>
      <t xml:space="preserve">, eta matrioxka, emakume figura gabe, </t>
    </r>
    <r>
      <rPr>
        <strike val="true"/>
        <sz val="9"/>
        <color rgb="FF000000"/>
        <rFont val="Arial"/>
        <family val="0"/>
        <charset val="1"/>
      </rPr>
      <t xml:space="preserve">zuhaitz baten adarra da</t>
    </r>
    <r>
      <rPr>
        <sz val="9"/>
        <color rgb="FF000000"/>
        <rFont val="Arial"/>
        <family val="0"/>
        <charset val="1"/>
      </rPr>
      <t xml:space="preserve">.
Jaka-</t>
    </r>
    <r>
      <rPr>
        <sz val="9"/>
        <color rgb="FFFF0000"/>
        <rFont val="Arial"/>
        <family val="0"/>
        <charset val="1"/>
      </rPr>
      <t xml:space="preserve">ren</t>
    </r>
    <r>
      <rPr>
        <sz val="9"/>
        <color rgb="FF000000"/>
        <rFont val="Arial"/>
        <family val="0"/>
        <charset val="1"/>
      </rPr>
      <t xml:space="preserve"> idazla</t>
    </r>
    <r>
      <rPr>
        <sz val="9"/>
        <color rgb="FFFF0000"/>
        <rFont val="Arial"/>
        <family val="0"/>
        <charset val="1"/>
      </rPr>
      <t xml:space="preserve">nak, Irastorza-ren klaseetan hasi zen idazteari animatuta eta inspiratu zuten. Idazle eskolaren ikasle izan zela, literatura eta poesia zientziaz estuki lotuta da, eta horren ondorioz, poesia landu zuen.
</t>
    </r>
    <r>
      <rPr>
        <sz val="9"/>
        <color rgb="FF000000"/>
        <rFont val="Arial"/>
        <family val="0"/>
        <charset val="1"/>
      </rPr>
      <t xml:space="preserve">
Itsaso amniotikoa liburua, hasiera bat dakarren amaiera on bat duen liburua da, eta </t>
    </r>
    <r>
      <rPr>
        <sz val="9"/>
        <color rgb="FFFF0000"/>
        <rFont val="Arial"/>
        <family val="0"/>
        <charset val="1"/>
      </rPr>
      <t xml:space="preserve">Karmele Igartua, Jaka-ren prozesu idazten eta sortzen hasteko jarraituz, gogoratu du.</t>
    </r>
  </si>
  <si>
    <r>
      <rPr>
        <sz val="9"/>
        <color rgb="FF000000"/>
        <rFont val="Arial"/>
        <family val="0"/>
        <charset val="1"/>
      </rPr>
      <t xml:space="preserve">Itsaso amniotikoa poema liburua, Oihane Jaka Irizarren kreazioa, hiru zatitan dago egituratuta: 11 urte, 11 hilabete eta 11 egun, horren bitartez amatasunaren eta sena i</t>
    </r>
    <r>
      <rPr>
        <sz val="9"/>
        <color rgb="FFFF0000"/>
        <rFont val="Arial"/>
        <family val="0"/>
        <charset val="1"/>
      </rPr>
      <t xml:space="preserve">kuspegitik</t>
    </r>
    <r>
      <rPr>
        <sz val="9"/>
        <color rgb="FF000000"/>
        <rFont val="Arial"/>
        <family val="0"/>
        <charset val="1"/>
      </rPr>
      <t xml:space="preserve"> baliatzen ditu. Lehenengo zatian, 11 urte atalean, heriotzaz ari da, eta honek aita </t>
    </r>
    <r>
      <rPr>
        <sz val="9"/>
        <color rgb="FFFF0000"/>
        <rFont val="Arial"/>
        <family val="0"/>
        <charset val="1"/>
      </rPr>
      <t xml:space="preserve">galdu zuen 11 urte zituela umeari eragiten dio</t>
    </r>
    <r>
      <rPr>
        <sz val="9"/>
        <color rgb="FF000000"/>
        <rFont val="Arial"/>
        <family val="0"/>
        <charset val="1"/>
      </rPr>
      <t xml:space="preserve">. Bigarren zatian, 11 hilabete atalean, haurdunaldiari buruzko poemak batu ditu, eta azken zatian, 11 egun atalean, erditzeari eta erditze ondoko egun</t>
    </r>
    <r>
      <rPr>
        <sz val="9"/>
        <color rgb="FFFF0000"/>
        <rFont val="Arial"/>
        <family val="0"/>
        <charset val="1"/>
      </rPr>
      <t xml:space="preserve">ean buruz hitz egiten dio.
</t>
    </r>
    <r>
      <rPr>
        <sz val="9"/>
        <color rgb="FF000000"/>
        <rFont val="Arial"/>
        <family val="0"/>
        <charset val="1"/>
      </rPr>
      <t xml:space="preserve">
</t>
    </r>
    <r>
      <rPr>
        <sz val="9"/>
        <color rgb="FFFF0000"/>
        <rFont val="Arial"/>
        <family val="0"/>
        <charset val="1"/>
      </rPr>
      <t xml:space="preserve">Liburua galera da,</t>
    </r>
    <r>
      <rPr>
        <sz val="9"/>
        <color rgb="FF000000"/>
        <rFont val="Arial"/>
        <family val="0"/>
        <charset val="1"/>
      </rPr>
      <t xml:space="preserve"> eta hiru ataletan agertzen </t>
    </r>
    <r>
      <rPr>
        <sz val="9"/>
        <color rgb="FFFF0000"/>
        <rFont val="Arial"/>
        <family val="0"/>
        <charset val="1"/>
      </rPr>
      <t xml:space="preserve">dira</t>
    </r>
    <r>
      <rPr>
        <sz val="9"/>
        <color rgb="FF000000"/>
        <rFont val="Arial"/>
        <family val="0"/>
        <charset val="1"/>
      </rPr>
      <t xml:space="preserve">: heriotza, haurdunaldi eta erditzeari buruzko poemak. Lehenengo atalean, 11 urte atalean, heriotzaz ari da, eta honek aita galdu zuen 11 urte zituela umeari eragiten dio. Bigarren atalean, 11 hilabete atalean, haurdunaldiari buruzko poemak batu ditu, eta azken atalean, 11 egun atalean, erditzeari eta erditze ondoko egunean buruz hitz egiten dio.
Jakak bi metafora nagusi baliatu ditu: zuhaitzaren uztaia eta matrioxka. Irastorza: «Gorantz hazten ikusten ditugu zuhaitzak, baina biribilean ere hazten dira». Bigarren metafora matrioxka da, eta horrek ere zuhaitzarekin egiten du bat: «Goitik begiratuta, zuhaitz bat baita matrioxka, baina emakume figura gabe».
Oihane Jaka Irizarren Itsaso amniotikoa poema liburua, amatasunaren eta sena ikuspegitik baliatzen ditu, eta hiru ataletan dago egituratuta: 11 urte, 11 hilabete eta 11 egun. Lehenengo zatian, 11 urte atalean, heriotzaz ari da, eta honek aita galdu zuen 11 urte zituela umeari eragiten dio. Bigarren zatian, 11 hilabete atalean, haurdunaldiari buruzko poemak batu ditu, eta azken zatian, 11 egun atalean, erditzeari eta erditze ondoko egunean buruz hitz egiten dio.
Jakak bi metafora nagusi baliatu ditu: zuhaitzaren uztaia eta matrioxka. Irastorza: «Gorantz hazten ikusten ditugu zuhaitzak, baina biribilean ere hazten dira». Bigarren metafora matrioxka da, eta horrek ere zuhaitzarekin egiten du bat: «Goitik begiratuta, zuhaitz bat baita matrioxka, baina emakume figura gabe».
Itsaso amniotikoa poema liburua, amatasunaren eta sena ikuspegitik baliatzen ditu, eta hiru ataletan dago egituratuta: 11 urte, 11 hilabete eta 11 egun. Lehenengo zatian, 11 urte atalean, heriotzaz ari da, eta honek aita galdu zuen 11 urte zituela umeari eragiten dio. Bigarren zatian, 11 hilabete atalean, haurdunaldiari buruzko poemak batu ditu, eta azken zatian, 11 egun atalean, erditzeari eta erditze ondoko egunean buruz hitz egiten dio.
Jakak bi metafora nagusi baliatu ditu: zuhaitzaren uztaia eta matrioxka. Irastorza: «Gorantz hazten ikusten ditugu zuhaitzak, baina biribilean ere hazten dira». Bigarren metafora matrioxka da, eta horrek ere zuhaitzarekin egiten du bat: «Goitik begiratuta, zuhaitz bat baita matrioxka, baina emakume figura gabe».</t>
    </r>
  </si>
  <si>
    <r>
      <rPr>
        <sz val="9"/>
        <color rgb="FF000000"/>
        <rFont val="Arial"/>
        <family val="0"/>
        <charset val="1"/>
      </rPr>
      <t xml:space="preserve"># Zer?
Itsaso amniotikoa poema liburua amatasunaren eta bizitzaren trantsizioak adierazten du.
# Nork?
Oihane Jaka Irizar, </t>
    </r>
    <r>
      <rPr>
        <sz val="9"/>
        <color rgb="FFFF0000"/>
        <rFont val="Arial"/>
        <family val="0"/>
        <charset val="1"/>
      </rPr>
      <t xml:space="preserve">Donostiako 1985ko </t>
    </r>
    <r>
      <rPr>
        <sz val="9"/>
        <color rgb="FF000000"/>
        <rFont val="Arial"/>
        <family val="0"/>
        <charset val="1"/>
      </rPr>
      <t xml:space="preserve">poetak idatzi du.
# Noiz?
2022ko abenduan, Idazle Eskolak eta Aretxabaletako Udalak antolatutako ekinaldiaren 12. aldian.
# Non?
</t>
    </r>
    <r>
      <rPr>
        <strike val="true"/>
        <sz val="9"/>
        <color rgb="FF000000"/>
        <rFont val="Arial"/>
        <family val="0"/>
        <charset val="1"/>
      </rPr>
      <t xml:space="preserve">Elkar argitalpenetako</t>
    </r>
    <r>
      <rPr>
        <sz val="9"/>
        <color rgb="FF000000"/>
        <rFont val="Arial"/>
        <family val="0"/>
        <charset val="1"/>
      </rPr>
      <t xml:space="preserve"> muinak Karmele Igartua sormen beka jaso zuen.
# Zergatik?
Itsaso amniotikoa amatasunaren eta umearen bizipenetatik amarenetarako trantsizioa adierazten du, eta horren bidez, idazleak bere esperientzia eta ikuspegi pertsonalak partekatzen ditu.
# Nola?
Liburua hiru zatitan dago egituratuta: 11 urte, 11 hilabete eta 11 egun. Lehen atalean heriotzaz ari da, bigarren atalean haurdunaldiari buruzko poemak, eta hirugarren atalean erditzeari eta ondorio fisiko eta emozionalei buruzko hitzordua.
Oihane Jak</t>
    </r>
    <r>
      <rPr>
        <sz val="9"/>
        <color rgb="FFFF0000"/>
        <rFont val="Arial"/>
        <family val="0"/>
        <charset val="1"/>
      </rPr>
      <t xml:space="preserve">a</t>
    </r>
    <r>
      <rPr>
        <sz val="9"/>
        <color rgb="FF000000"/>
        <rFont val="Arial"/>
        <family val="0"/>
        <charset val="1"/>
      </rPr>
      <t xml:space="preserve">, idazle eta poeta, bere liburua idatzi du, Itsaso amniotikoa, amatasunaren eta bizitzaren trantsizioak adierazten dituen </t>
    </r>
    <r>
      <rPr>
        <sz val="9"/>
        <color rgb="FFFF0000"/>
        <rFont val="Arial"/>
        <family val="0"/>
        <charset val="1"/>
      </rPr>
      <t xml:space="preserve">poema baten bidez</t>
    </r>
    <r>
      <rPr>
        <sz val="9"/>
        <color rgb="FF000000"/>
        <rFont val="Arial"/>
        <family val="0"/>
        <charset val="1"/>
      </rPr>
      <t xml:space="preserve">. Liburua hiru zatitan dago egituratuta, eta hiru atalean agertzen dira trantsizio batzuk: heriotzatik bizitzarakoa, haurdunaldiari buruzkoa, eta erditzeari eta ondorio fisiko eta emozionalari buruzkoa.
</t>
    </r>
    <r>
      <rPr>
        <strike val="true"/>
        <sz val="9"/>
        <color rgb="FF000000"/>
        <rFont val="Arial"/>
        <family val="0"/>
        <charset val="1"/>
      </rPr>
      <t xml:space="preserve">Idazleak, Tere Irastorza</t>
    </r>
    <r>
      <rPr>
        <sz val="9"/>
        <color rgb="FF000000"/>
        <rFont val="Arial"/>
        <family val="0"/>
        <charset val="1"/>
      </rPr>
      <t xml:space="preserve">, minimalismoa erabiltzen du, "oso gauza gutxirekin egin du dena, eta formaren aldetik oso elementu sinpleekin egiten du jolas". Hizkuntza bera elementu garrantzitsu bat da, eta </t>
    </r>
    <r>
      <rPr>
        <sz val="9"/>
        <color rgb="FFFF0000"/>
        <rFont val="Arial"/>
        <family val="0"/>
        <charset val="1"/>
      </rPr>
      <t xml:space="preserve">Jaka</t>
    </r>
    <r>
      <rPr>
        <sz val="9"/>
        <color rgb="FF000000"/>
        <rFont val="Arial"/>
        <family val="0"/>
        <charset val="1"/>
      </rPr>
      <t xml:space="preserve"> hizkuntzaren jokorik erabiliz, indeterminazioa eta </t>
    </r>
    <r>
      <rPr>
        <sz val="9"/>
        <color rgb="FFFF0000"/>
        <rFont val="Arial"/>
        <family val="0"/>
        <charset val="1"/>
      </rPr>
      <t xml:space="preserve">alegia</t>
    </r>
    <r>
      <rPr>
        <sz val="9"/>
        <color rgb="FF000000"/>
        <rFont val="Arial"/>
        <family val="0"/>
        <charset val="1"/>
      </rPr>
      <t xml:space="preserve"> sortzen saiatzen da.
Bi metafora nagusi erabili ditu Jaka: zuhaitzaren uztaia eta matrioxka. Zuhaitzak </t>
    </r>
    <r>
      <rPr>
        <strike val="true"/>
        <sz val="9"/>
        <color rgb="FF000000"/>
        <rFont val="Arial"/>
        <family val="0"/>
        <charset val="1"/>
      </rPr>
      <t xml:space="preserve">erditze prozesua adierazten du</t>
    </r>
    <r>
      <rPr>
        <sz val="9"/>
        <color rgb="FF000000"/>
        <rFont val="Arial"/>
        <family val="0"/>
        <charset val="1"/>
      </rPr>
      <t xml:space="preserve">, eta matrioxka, emakume figura gabe, </t>
    </r>
    <r>
      <rPr>
        <strike val="true"/>
        <sz val="9"/>
        <color rgb="FF000000"/>
        <rFont val="Arial"/>
        <family val="0"/>
        <charset val="1"/>
      </rPr>
      <t xml:space="preserve">amaren trantsizioa eta erdiondoko oinazea adierazten du</t>
    </r>
    <r>
      <rPr>
        <sz val="9"/>
        <color rgb="FF000000"/>
        <rFont val="Arial"/>
        <family val="0"/>
        <charset val="1"/>
      </rPr>
      <t xml:space="preserve">.
</t>
    </r>
    <r>
      <rPr>
        <sz val="9"/>
        <color rgb="FFFF0000"/>
        <rFont val="Arial"/>
        <family val="0"/>
        <charset val="1"/>
      </rPr>
      <t xml:space="preserve">Itsaso amniotikoa, amaitze on bat, hasiera bat dakarrena, idazlearen prozesu berria hastea eta sortu ahal izateko aukera ematen dio.</t>
    </r>
  </si>
  <si>
    <r>
      <rPr>
        <sz val="9"/>
        <color rgb="FFFF0000"/>
        <rFont val="Arial"/>
        <family val="0"/>
        <charset val="1"/>
      </rPr>
      <t xml:space="preserve">"Itsaso amniotikoa" poema liburua, Karmele Igartua-k sorrondako "Idazle Eskolak" eta "Aretxabaletako Udalak" antolatutako ekinaldian sorrondako 2022ko abenduan baliatu zuen</t>
    </r>
    <r>
      <rPr>
        <sz val="9"/>
        <color rgb="FF000000"/>
        <rFont val="Arial"/>
        <family val="0"/>
        <charset val="1"/>
      </rPr>
      <t xml:space="preserve">. Oihane Jaka Irizar (1985, Donostia) idazleak muin hori osatu du. Tere Irastorza poeta eta Idazle Eskolako irakaslea izan du bidaide.
</t>
    </r>
    <r>
      <rPr>
        <strike val="true"/>
        <sz val="9"/>
        <color rgb="FF000000"/>
        <rFont val="Arial"/>
        <family val="0"/>
        <charset val="1"/>
      </rPr>
      <t xml:space="preserve">
Jakak "minimalismoa" aipatu du</t>
    </r>
    <r>
      <rPr>
        <sz val="9"/>
        <color rgb="FF000000"/>
        <rFont val="Arial"/>
        <family val="0"/>
        <charset val="1"/>
      </rPr>
      <t xml:space="preserve">, oso gutxirekin eta elementu sinpleekin jolas egiten duela. Hizkuntza garrantzitsuena da, eta </t>
    </r>
    <r>
      <rPr>
        <sz val="9"/>
        <color rgb="FFFF0000"/>
        <rFont val="Arial"/>
        <family val="0"/>
        <charset val="1"/>
      </rPr>
      <t xml:space="preserve">11 horiek zehaztasunaren ezaugarri guztiak hartzen baitituzte</t>
    </r>
    <r>
      <rPr>
        <sz val="9"/>
        <color rgb="FF000000"/>
        <rFont val="Arial"/>
        <family val="0"/>
        <charset val="1"/>
      </rPr>
      <t xml:space="preserve">, baina indeterminazioa ere mantentzen dute.
Liburuak ama izateari heltzen dio, amatasuna eta sena agertzen dira. 11 urte, 11 hilabete eta 11 egun zatitan dago egituratuta, eta </t>
    </r>
    <r>
      <rPr>
        <sz val="9"/>
        <color rgb="FFFF0000"/>
        <rFont val="Arial"/>
        <family val="0"/>
        <charset val="1"/>
      </rPr>
      <t xml:space="preserve">hiru atalean </t>
    </r>
    <r>
      <rPr>
        <sz val="9"/>
        <color rgb="FF000000"/>
        <rFont val="Arial"/>
        <family val="0"/>
        <charset val="1"/>
      </rPr>
      <t xml:space="preserve">galera da: </t>
    </r>
    <r>
      <rPr>
        <sz val="9"/>
        <color rgb="FFFF0000"/>
        <rFont val="Arial"/>
        <family val="0"/>
        <charset val="1"/>
      </rPr>
      <t xml:space="preserve">heriotzaz, haurdunaldiari buruzko poemak eta erditzeari buruzkoak.
</t>
    </r>
    <r>
      <rPr>
        <sz val="9"/>
        <color rgb="FF000000"/>
        <rFont val="Arial"/>
        <family val="0"/>
        <charset val="1"/>
      </rPr>
      <t xml:space="preserve">
Jakak zuhaitzaren uztaia eta matrioxka metaforak erabili ditu. I</t>
    </r>
    <r>
      <rPr>
        <sz val="9"/>
        <color rgb="FFFF0000"/>
        <rFont val="Arial"/>
        <family val="0"/>
        <charset val="1"/>
      </rPr>
      <t xml:space="preserve">rastorza</t>
    </r>
    <r>
      <rPr>
        <sz val="9"/>
        <color rgb="FF000000"/>
        <rFont val="Arial"/>
        <family val="0"/>
        <charset val="1"/>
      </rPr>
      <t xml:space="preserve"> zuhaitzak gorantz hazten ikusten ditu, baina biribilean ere hazten dira. Matrioxka zuhaitz bat baita, baina emakume figura gabe.
Oihane Jaka, biologoa eta zientziari estuki lotuta, literaturarako zaletasuna betidanikoa du. Idazteko hasierako motibazioa, gauza solteak idazteko gogoa izatea izan zen. Doktoretza bukatuta, Idazle Eskolan sartu zen eta poesia landu zuen.
</t>
    </r>
    <r>
      <rPr>
        <sz val="9"/>
        <color rgb="FFFF0000"/>
        <rFont val="Arial"/>
        <family val="0"/>
        <charset val="1"/>
      </rPr>
      <t xml:space="preserve">Irastorza Jaka idazleari prozesu berria hasi artean jarraitu ahal izateko animatuta egon zen.</t>
    </r>
  </si>
  <si>
    <r>
      <rPr>
        <sz val="9"/>
        <color rgb="FFFF0000"/>
        <rFont val="Arial"/>
        <family val="0"/>
        <charset val="1"/>
      </rPr>
      <t xml:space="preserve">Etorri da</t>
    </r>
    <r>
      <rPr>
        <sz val="9"/>
        <color rgb="FF000000"/>
        <rFont val="Arial"/>
        <family val="0"/>
        <charset val="1"/>
      </rPr>
      <t xml:space="preserve"> Iruñeko Alde Zaharrean faxistak pintaketa berriak egin duten egunean. San Frantzisko plazan eta inguruetan, Erorien Monumentuaren aldeko mezuak nagusiki pintatu dituzte. Azken asteetan, hainbat protesta egin dira monumentu hori eraitsi dezatela eskatzeko, baina faxistek erantzun dute "Los caidos no se tocan" </t>
    </r>
    <r>
      <rPr>
        <sz val="9"/>
        <color rgb="FFFF0000"/>
        <rFont val="Arial"/>
        <family val="0"/>
        <charset val="1"/>
      </rPr>
      <t xml:space="preserve">mezua</t>
    </r>
    <r>
      <rPr>
        <sz val="9"/>
        <color rgb="FF000000"/>
        <rFont val="Arial"/>
        <family val="0"/>
        <charset val="1"/>
      </rPr>
      <t xml:space="preserve">, eta gisako mezuekin </t>
    </r>
    <r>
      <rPr>
        <sz val="9"/>
        <color rgb="FFFF0000"/>
        <rFont val="Arial"/>
        <family val="0"/>
        <charset val="1"/>
      </rPr>
      <t xml:space="preserve">eragiten</t>
    </r>
    <r>
      <rPr>
        <sz val="9"/>
        <color rgb="FF000000"/>
        <rFont val="Arial"/>
        <family val="0"/>
        <charset val="1"/>
      </rPr>
      <t xml:space="preserve"> dute erantzunik gabe.
EH Bilduren egoitzaren kanpoaldean, ikur faxista batzuk margotu dira, eta Asiron narizoa ipini dute svastiken eta Daviden izarren artean. </t>
    </r>
    <r>
      <rPr>
        <sz val="9"/>
        <color rgb="FFFF0000"/>
        <rFont val="Arial"/>
        <family val="0"/>
        <charset val="1"/>
      </rPr>
      <t xml:space="preserve">Honek, EH Bilduk irmoki salatu duen erantzuna da</t>
    </r>
    <r>
      <rPr>
        <sz val="9"/>
        <color rgb="FF000000"/>
        <rFont val="Arial"/>
        <family val="0"/>
        <charset val="1"/>
      </rPr>
      <t xml:space="preserve">, "Faxistei ez diegu utziko gure bizitzak eta erabakiak baldintzatzen. Konpromiso osoa dugu bizikidetza eta memoria demokratikoarekin."
</t>
    </r>
    <r>
      <rPr>
        <sz val="9"/>
        <color rgb="FFFF0000"/>
        <rFont val="Arial"/>
        <family val="0"/>
        <charset val="1"/>
      </rPr>
      <t xml:space="preserve">Badaude, EH Bildu, faxistak </t>
    </r>
    <r>
      <rPr>
        <sz val="9"/>
        <color rgb="FF000000"/>
        <rFont val="Arial"/>
        <family val="0"/>
        <charset val="1"/>
      </rPr>
      <t xml:space="preserve">egin duten pintaketa hauen aurkako erantzuna, eta </t>
    </r>
    <r>
      <rPr>
        <sz val="9"/>
        <color rgb="FFFF0000"/>
        <rFont val="Arial"/>
        <family val="0"/>
        <charset val="1"/>
      </rPr>
      <t xml:space="preserve">bermatzeko mezu batzuk bidali dute</t>
    </r>
    <r>
      <rPr>
        <sz val="9"/>
        <color rgb="FF000000"/>
        <rFont val="Arial"/>
        <family val="0"/>
        <charset val="1"/>
      </rPr>
      <t xml:space="preserve">. "</t>
    </r>
    <r>
      <rPr>
        <strike val="true"/>
        <sz val="9"/>
        <color rgb="FF000000"/>
        <rFont val="Arial"/>
        <family val="0"/>
        <charset val="1"/>
      </rPr>
      <t xml:space="preserve">Gure herrialdean ez dugu faxistak onartuko, eta gure bizikidetza eta memoria demokratikoa babesteko konpromiso osoa dugu," dio EH Bilduk.
</t>
    </r>
    <r>
      <rPr>
        <sz val="9"/>
        <color rgb="FF000000"/>
        <rFont val="Arial"/>
        <family val="0"/>
        <charset val="1"/>
      </rPr>
      <t xml:space="preserve">
Hau da, faxistak egin duten pintaketa berriak, eta EH Bildu eta </t>
    </r>
    <r>
      <rPr>
        <strike val="true"/>
        <sz val="9"/>
        <color rgb="FF000000"/>
        <rFont val="Arial"/>
        <family val="0"/>
        <charset val="1"/>
      </rPr>
      <t xml:space="preserve">beste alderdien erantzuna</t>
    </r>
    <r>
      <rPr>
        <sz val="9"/>
        <color rgb="FF000000"/>
        <rFont val="Arial"/>
        <family val="0"/>
        <charset val="1"/>
      </rPr>
      <t xml:space="preserve">, bizikide-batzordeak eta herritarren protestak. Iruñeko herritarrak, faxistak egin duten eraso hauen aurkako erantzuna ematen dute, eta memoria demokratikoa eta bizikidetza babesteko konpromisoarekin etengabe amaituko dute.</t>
    </r>
  </si>
  <si>
    <r>
      <rPr>
        <sz val="9"/>
        <color rgb="FFCCCCCC"/>
        <rFont val="Arial"/>
        <family val="0"/>
        <charset val="1"/>
      </rPr>
      <t xml:space="preserve">Ondoko testuak edukirik garrantzitsuena laburtu testua erabiliz pentsatzen </t>
    </r>
    <r>
      <rPr>
        <sz val="9"/>
        <color rgb="FFFF0000"/>
        <rFont val="Arial"/>
        <family val="0"/>
        <charset val="1"/>
      </rPr>
      <t xml:space="preserve">dudanaz</t>
    </r>
    <r>
      <rPr>
        <sz val="9"/>
        <color rgb="FFCCCCCC"/>
        <rFont val="Arial"/>
        <family val="0"/>
        <charset val="1"/>
      </rPr>
      <t xml:space="preserve">:
</t>
    </r>
    <r>
      <rPr>
        <sz val="9"/>
        <color rgb="FF000000"/>
        <rFont val="Arial"/>
        <family val="0"/>
        <charset val="1"/>
      </rPr>
      <t xml:space="preserve">
"</t>
    </r>
    <r>
      <rPr>
        <sz val="9"/>
        <color rgb="FFFF0000"/>
        <rFont val="Arial"/>
        <family val="0"/>
        <charset val="1"/>
      </rPr>
      <t xml:space="preserve">Faxistak</t>
    </r>
    <r>
      <rPr>
        <sz val="9"/>
        <color rgb="FF000000"/>
        <rFont val="Arial"/>
        <family val="0"/>
        <charset val="1"/>
      </rPr>
      <t xml:space="preserve"> Iruñeko Alde Zaharrean, San Frantzisko plazan eta inguruetan, erorien Monumentuaren aldeko mezuak pintatu dituzte. Horrez gain, svastikak, Daviden izarrak eta ikur faxista batzuk ere marraztu dituzte. EH Bilduk irmoki salatu ditu bere egoitzan azaldutako pintaketa horiek, eta «Faxistei ez diegu utziko gure bizitzak eta erabakiak baldintzatzen» </t>
    </r>
    <r>
      <rPr>
        <sz val="9"/>
        <color rgb="FFFF0000"/>
        <rFont val="Arial"/>
        <family val="0"/>
        <charset val="1"/>
      </rPr>
      <t xml:space="preserve">mezua ipini dute</t>
    </r>
    <r>
      <rPr>
        <sz val="9"/>
        <color rgb="FF000000"/>
        <rFont val="Arial"/>
        <family val="0"/>
        <charset val="1"/>
      </rPr>
      <t xml:space="preserve">."
</t>
    </r>
    <r>
      <rPr>
        <sz val="9"/>
        <color rgb="FFFF0000"/>
        <rFont val="Arial"/>
        <family val="0"/>
        <charset val="1"/>
      </rPr>
      <t xml:space="preserve">Honek, testu orok eraginkorra eta sinplea da,</t>
    </r>
    <r>
      <rPr>
        <sz val="9"/>
        <color rgb="FF000000"/>
        <rFont val="Arial"/>
        <family val="0"/>
        <charset val="1"/>
      </rPr>
      <t xml:space="preserve"> eta </t>
    </r>
    <r>
      <rPr>
        <sz val="9"/>
        <color rgb="FFFF0000"/>
        <rFont val="Arial"/>
        <family val="0"/>
        <charset val="1"/>
      </rPr>
      <t xml:space="preserve">faxistak</t>
    </r>
    <r>
      <rPr>
        <sz val="9"/>
        <color rgb="FF000000"/>
        <rFont val="Arial"/>
        <family val="0"/>
        <charset val="1"/>
      </rPr>
      <t xml:space="preserve"> egin duten pintaketa faxista eta erorien memoria errespektatuaren kontrako erantzuna adierazten du.</t>
    </r>
  </si>
  <si>
    <r>
      <rPr>
        <sz val="9"/>
        <color rgb="FF000000"/>
        <rFont val="Arial"/>
        <family val="0"/>
        <charset val="1"/>
      </rPr>
      <t xml:space="preserve">**Zer:** Bart gaueko pintaketa faxistak.
**Nork:** Faxistak eta EH Bildu-ko kideak.
**Noiz:** </t>
    </r>
    <r>
      <rPr>
        <strike val="true"/>
        <sz val="9"/>
        <color rgb="FF000000"/>
        <rFont val="Arial"/>
        <family val="0"/>
        <charset val="1"/>
      </rPr>
      <t xml:space="preserve">Azken asteetan</t>
    </r>
    <r>
      <rPr>
        <sz val="9"/>
        <color rgb="FF000000"/>
        <rFont val="Arial"/>
        <family val="0"/>
        <charset val="1"/>
      </rPr>
      <t xml:space="preserve"> (April 25, 2024-an, Twitter-en argitaratutako datarekin bat egiten).
**Non:** Iruñeko Alde Zaharrean, San Frantzisko plazan eta EH Bilduren egoitzaren kanpoaldean.
**Zergatik:**</t>
    </r>
    <r>
      <rPr>
        <sz val="9"/>
        <color rgb="FFFF0000"/>
        <rFont val="Arial"/>
        <family val="0"/>
        <charset val="1"/>
      </rPr>
      <t xml:space="preserve"> Protesta eta mezuak eroriari eta memoria demokratikoari buruz jarri nahi dute</t>
    </r>
    <r>
      <rPr>
        <sz val="9"/>
        <color rgb="FF000000"/>
        <rFont val="Arial"/>
        <family val="0"/>
        <charset val="1"/>
      </rPr>
      <t xml:space="preserve">.
**Nola:** Svastikak, Daviden izarrak eta beste ikur faxista batzuk margotzen dituzte, eta mezu faxista batzuk ere idatzi dira.</t>
    </r>
  </si>
  <si>
    <t xml:space="preserve">**TL;DR:** Fascist groups have been vandalizing the Old Part of Pamplona, specifically around San Francisco Plaza, with messages supporting the Fallen Monument. In response to recent protests calling for its removal, they have painted messages like "Los caidos no se tocan" (The Fallen are not to be touched) and other fascist symbols such as swastikas and the Star of David.
EH Bildu, a political party, has denounced the fascist symbols painted near their headquarters and has stated, "We will not allow fascists to condition our lives and decisions. We are fully committed to coexistence and democratic memory."</t>
  </si>
  <si>
    <r>
      <rPr>
        <sz val="9"/>
        <color rgb="FFB7B7B7"/>
        <rFont val="Arial"/>
        <family val="0"/>
        <charset val="1"/>
      </rPr>
      <t xml:space="preserve">Euskara ez dudan hizkuntza, baina uste dut testu hau ingelesez itzultzeko eskatzen zaizkidan.
Ingelesera itzultzen dizut testu hau:
</t>
    </r>
    <r>
      <rPr>
        <sz val="9"/>
        <color rgb="FF000000"/>
        <rFont val="Arial"/>
        <family val="0"/>
        <charset val="1"/>
      </rPr>
      <t xml:space="preserve">
"The three major European wind industry manufacturers (Siemens Gamesa, Vestas, and Nordex) are facing significant challenges, but ultimately, help has arrived from Brussels. The European Commission is ready to provide support; not only that, but it has prepared measures to speed up the projects, streamline procedures, and address the practices of external competitors.
According to Kadri Simson, the Energy Commissioner, it will be a long road for the newcomers, and a significant contribution will be required from the sector: 'But only by adopting a strong position can this be achieved. Conditions must be created to strengthen the wind sector, and the support plans will support this.'
It could be too late for Siemens Gamesa. The company will present its restructuring plan on November 21st, and the unions are very concerned about the information that has been leaked so far. The company employs 2,800 people in the Southern Basque Country.
Regarding the difficulties that companies face, the Commission points out that one of the problems is that manufacturers are not sufficiently protected from high inflation and the volatility of raw materials. Indeed, Asian competitors, especially Chinese ones, are suppliers of raw materials, and they have the support of the state's finances. Thanks to this, they can gain an advantage. In fact, the first bidders in the auctions of wind parks are those with the lowest prices, and the Chinese take advantage of this.
A guide for March
The Commission will try to simplify these auctions so that they are not based solely on price. 'The aim is to promote objectives that are not based on price and to support a renewable, innovative, and competitive industry.' The Commission also wants the designs of the auctions to be uniform throughout Europe, and among the objectives, it wants to consider sustainability and cybersecurity. The Commission will promote discussions between the countries and industry agents to define the objectives of the auctions.
In addition, Brussels aims to address the 'unfair trade practices' that benefit foreign competitors. 'If necessary, the Commission will activate the instruments of trade defence.'
Simson has explained that the European Investment Bank (EIB) will increase its commitment, 'to allow the sector to reach investment conditions in better circumstances'. To finance projects of new technologies, on the other hand, they will put 'at least two' in the Innovative Recovery Fund: 1.4 billion euros.
Permits, faster
Another major problem that Brussels faces is the 'limited' use of European production capacity in projects due to uncertainty. The industry calculates that projects with an 80-gigawatt capacity are neither advancing nor retreating due to long permit procedures. To speed up these procedures, they will launch the Accelere-RES program. By the end of the year, they will put an online tool at the disposal of member states to help them, and by April, they will update the procedure guide to speed up the processing of projects of new energies. In addition, with the aim of giving certainty to the sector, they will ask the members of the EC to specify what their intentions are regarding the legislation and the deployment of wind projects.
Brussels also wants to speed up offshore wind projects, which will be 'essential to meet the energy needs that will be necessary for decarbonisation'. Until 2022, there were projects in the EC with a capacity of 16.3 gigawatts, and the countries have committed to reaching 111 gigawatts: 'To meet that deadline, 12 gigawatts will have to be installed per year; last year, 1.2 gigawatts were installed, which is ten times less, that is.'
Wind energy accounts for 16% of the energy consumed in the EC, mainly, and it often reaches that level in the summer. There are 250 factories in the EC, and they contribute around 42 billion euros to the European internal product. In addition, the sector has 300,000 qualified jobs."</t>
    </r>
  </si>
  <si>
    <r>
      <rPr>
        <sz val="9"/>
        <color rgb="FF999999"/>
        <rFont val="Arial"/>
        <family val="0"/>
        <charset val="1"/>
      </rPr>
      <t xml:space="preserve">Edukirik garrantzitsuena:
</t>
    </r>
    <r>
      <rPr>
        <sz val="9"/>
        <color rgb="FF000000"/>
        <rFont val="Arial"/>
        <family val="0"/>
        <charset val="1"/>
      </rPr>
      <t xml:space="preserve">
"Batzordeak elkarrizketak bultzatuko ditu herrialdeen eta industriako eragileen artean, enkante horien irizpideak hitzartzeko."
</t>
    </r>
    <r>
      <rPr>
        <sz val="9"/>
        <color rgb="FF999999"/>
        <rFont val="Arial"/>
        <family val="0"/>
        <charset val="1"/>
      </rPr>
      <t xml:space="preserve">Laburtu testua:
</t>
    </r>
    <r>
      <rPr>
        <sz val="9"/>
        <color rgb="FF000000"/>
        <rFont val="Arial"/>
        <family val="0"/>
        <charset val="1"/>
      </rPr>
      <t xml:space="preserve">
"Bruselak atzeman duen beste arazo nagusia da Europako ekoizpen ahalmena «gutxiegi» erabiltzen dela proiektuekin ziurgabetasuna dagoelako. Industriak kalkulatu du 80 gigawatteko potentzia ahalmena duten proiektuak ez aurrera ez atzera daudela, baimenak lortzeko tramite luzeen ondorioz."
</t>
    </r>
    <r>
      <rPr>
        <sz val="9"/>
        <color rgb="FFFF0000"/>
        <rFont val="Arial"/>
        <family val="0"/>
        <charset val="1"/>
      </rPr>
      <t xml:space="preserve">Hurrengo testuak edukirik garrantzitsuena eta laburtu testua erabiliz</t>
    </r>
    <r>
      <rPr>
        <sz val="9"/>
        <color rgb="FF000000"/>
        <rFont val="Arial"/>
        <family val="0"/>
        <charset val="1"/>
      </rPr>
      <t xml:space="preserve">, Europako Batzordeak ekoizle handien laguntza eta babesa eskaintzen saiatzen da, baina arazo batzuk atzeman ditu, </t>
    </r>
    <r>
      <rPr>
        <sz val="9"/>
        <color rgb="FFFF0000"/>
        <rFont val="Arial"/>
        <family val="0"/>
        <charset val="1"/>
      </rPr>
      <t xml:space="preserve">halaber</t>
    </r>
    <r>
      <rPr>
        <sz val="9"/>
        <color rgb="FF000000"/>
        <rFont val="Arial"/>
        <family val="0"/>
        <charset val="1"/>
      </rPr>
      <t xml:space="preserve">, proiektuak ziurgabetasun handiagatik. Batzordea</t>
    </r>
    <r>
      <rPr>
        <sz val="9"/>
        <color rgb="FFFF0000"/>
        <rFont val="Arial"/>
        <family val="0"/>
        <charset val="1"/>
      </rPr>
      <t xml:space="preserve">k</t>
    </r>
    <r>
      <rPr>
        <sz val="9"/>
        <color rgb="FF000000"/>
        <rFont val="Arial"/>
        <family val="0"/>
        <charset val="1"/>
      </rPr>
      <t xml:space="preserve"> proiektuak sinplifikatzeko eta ziurtatzen saiatzen da, sektore eolikoa indartzeko baldintzak sortu behar direla uste </t>
    </r>
    <r>
      <rPr>
        <sz val="9"/>
        <color rgb="FFFF0000"/>
        <rFont val="Arial"/>
        <family val="0"/>
        <charset val="1"/>
      </rPr>
      <t xml:space="preserve">du</t>
    </r>
    <r>
      <rPr>
        <sz val="9"/>
        <color rgb="FF000000"/>
        <rFont val="Arial"/>
        <family val="0"/>
        <charset val="1"/>
      </rPr>
      <t xml:space="preserve">.</t>
    </r>
  </si>
  <si>
    <r>
      <rPr>
        <sz val="9"/>
        <color rgb="FF000000"/>
        <rFont val="Arial"/>
        <family val="0"/>
        <charset val="1"/>
      </rPr>
      <t xml:space="preserve">Zer?
- Europako industria eolikoaren hiru ekoizle handien galera eta eraginkortasun hobekuntza.
Nork?
- Siemens Gamesa, Vestas eta Nordex bezala, ekoizle handi </t>
    </r>
    <r>
      <rPr>
        <sz val="9"/>
        <color rgb="FFFF0000"/>
        <rFont val="Arial"/>
        <family val="0"/>
        <charset val="1"/>
      </rPr>
      <t xml:space="preserve">hiruak.
</t>
    </r>
    <r>
      <rPr>
        <sz val="9"/>
        <color rgb="FF000000"/>
        <rFont val="Arial"/>
        <family val="0"/>
        <charset val="1"/>
      </rPr>
      <t xml:space="preserve">- Europako Batzordea, </t>
    </r>
    <r>
      <rPr>
        <sz val="9"/>
        <color rgb="FFFF0000"/>
        <rFont val="Arial"/>
        <family val="0"/>
        <charset val="1"/>
      </rPr>
      <t xml:space="preserve">laguntza eta neurriak prestatzen dituzten.
</t>
    </r>
    <r>
      <rPr>
        <sz val="9"/>
        <color rgb="FF000000"/>
        <rFont val="Arial"/>
        <family val="0"/>
        <charset val="1"/>
      </rPr>
      <t xml:space="preserve">- Kadri Simson, Energia komisarioa, sektoreari ekarpen handia egiteko asmoarekin.
Noiz?
- Azaroaren 21ean, Siemens Gamesak bideragarritasun plana aurkeztuko du.
- Urte amaierara eta apirilaraino, Bruselak prozedurak azkartzeko eta sektoreari laguntzeko ekintzaileak eginen ditu.
Non?
- Hego Euskal Herrian, Siemens Gamesak 2.800 langile ematen ditu.
- Europako herrialde guztietan, enkanteen diseinuak bateragarriak izateko asmoa dago.
- Itsasoko proiektu eolikoak ere, deskarbonizazio prozesuan garrantzitsua dira.
Zergatik?
- Ekoizle handiak galera handia dute, eta Batzordeak laguntza eskainiz, sektoreak indartzeko baldintzak sortzea beharrezkoa da.
- Inflazioa eta lehengaien garestitzak ekoizleei zailtasunak sortzen dizkiete.
- Txinako lehiakideak, lehengaien hornitzaile eta finantza babesa duten, abantaila duten.
Nola?
- Batzordeak laguntza planak prestatu ditu, proiektuak bizkorrago zabaltzeko eta tramiteak arintzeko.
- Enkanteen irizpideak hitzarmen batetik hitzartzea eta iraunkortasun eta segurtasun zibernetikoa aintzat hartzea lortu nahi dute.
- Merkataritza defentsarako instrumentuak aktibatuko dira,</t>
    </r>
    <r>
      <rPr>
        <strike val="true"/>
        <sz val="9"/>
        <color rgb="FF000000"/>
        <rFont val="Arial"/>
        <family val="0"/>
        <charset val="1"/>
      </rPr>
      <t xml:space="preserve"> atzerriko lehiakideei mesede egiteko.
</t>
    </r>
    <r>
      <rPr>
        <sz val="9"/>
        <color rgb="FF000000"/>
        <rFont val="Arial"/>
        <family val="0"/>
        <charset val="1"/>
      </rPr>
      <t xml:space="preserve">- EIBk sektoreak mailegu hobeagoetara jo ahal izateko bermeak handituko ditu.
- Proiektuei baimenak lortzeko tramiteak azkartzeko, Accelere-RES programa ezarriko da.
- Itsasoko proiektu eolikoak deskarbonizazio prozesuan parte hartzeko garrantzitsua dira.</t>
    </r>
  </si>
  <si>
    <r>
      <rPr>
        <sz val="9"/>
        <color rgb="FF999999"/>
        <rFont val="Arial"/>
        <family val="0"/>
        <charset val="1"/>
      </rPr>
      <t xml:space="preserve">**TL;DR:** </t>
    </r>
    <r>
      <rPr>
        <sz val="9"/>
        <color rgb="FF000000"/>
        <rFont val="Arial"/>
        <family val="0"/>
        <charset val="1"/>
      </rPr>
      <t xml:space="preserve">The European wind industry, with its three major manufacturers (Siemens Gamesa, Vestas, and Nordex), is facing significant challenges, but the European Commission is ready to provide support. The Commission aims to boost these projects, streamline procedures, and address competition from external players. They plan to simplify auctions, focus on </t>
    </r>
    <r>
      <rPr>
        <strike val="true"/>
        <sz val="9"/>
        <color rgb="FF000000"/>
        <rFont val="Arial"/>
        <family val="0"/>
        <charset val="1"/>
      </rPr>
      <t xml:space="preserve">innovative</t>
    </r>
    <r>
      <rPr>
        <sz val="9"/>
        <color rgb="FF000000"/>
        <rFont val="Arial"/>
        <family val="0"/>
        <charset val="1"/>
      </rPr>
      <t xml:space="preserve"> and sustainable projects, and protect domestic competitors from unfair trade practices. Additionally, efforts are being made to accelerate permitting processes and promote offshore wind projects as crucial for decarbonization.</t>
    </r>
  </si>
  <si>
    <r>
      <rPr>
        <sz val="9"/>
        <color rgb="FF000000"/>
        <rFont val="Arial"/>
        <family val="0"/>
        <charset val="1"/>
      </rPr>
      <t xml:space="preserve">Hurrengo testua laburtu da:
"Irailean, Itsasun (Lapurdi) izango da </t>
    </r>
    <r>
      <rPr>
        <sz val="9"/>
        <color rgb="FFFF0000"/>
        <rFont val="Arial"/>
        <family val="0"/>
        <charset val="1"/>
      </rPr>
      <t xml:space="preserve">Euskaltzaindien</t>
    </r>
    <r>
      <rPr>
        <sz val="9"/>
        <color rgb="FF000000"/>
        <rFont val="Arial"/>
        <family val="0"/>
        <charset val="1"/>
      </rPr>
      <t xml:space="preserve"> antolatutako </t>
    </r>
    <r>
      <rPr>
        <strike val="true"/>
        <sz val="9"/>
        <color rgb="FF000000"/>
        <rFont val="Arial"/>
        <family val="0"/>
        <charset val="1"/>
      </rPr>
      <t xml:space="preserve">Eako Poesia Egunen atarian</t>
    </r>
    <r>
      <rPr>
        <sz val="9"/>
        <color rgb="FF000000"/>
        <rFont val="Arial"/>
        <family val="0"/>
        <charset val="1"/>
      </rPr>
      <t xml:space="preserve">. </t>
    </r>
    <r>
      <rPr>
        <strike val="true"/>
        <sz val="9"/>
        <color rgb="FF000000"/>
        <rFont val="Arial"/>
        <family val="0"/>
        <charset val="1"/>
      </rPr>
      <t xml:space="preserve">2018an hasi ziren uztaileroko jaialdiak</t>
    </r>
    <r>
      <rPr>
        <sz val="9"/>
        <color rgb="FF000000"/>
        <rFont val="Arial"/>
        <family val="0"/>
        <charset val="1"/>
      </rPr>
      <t xml:space="preserve">, Bizkaiko Ean inguruan antolatu ziren, baina orain, hutsune bat ikusirik, lekua aldatu dute. Helburua, poeten lana gizarteratzea, eta horretarako, nazioarteko poeten bertsoak ere erakutsiko dira.
Poemak erakusleihoetan </t>
    </r>
    <r>
      <rPr>
        <sz val="9"/>
        <color rgb="FFFF0000"/>
        <rFont val="Arial"/>
        <family val="0"/>
        <charset val="1"/>
      </rPr>
      <t xml:space="preserve">jantoko</t>
    </r>
    <r>
      <rPr>
        <sz val="9"/>
        <color rgb="FF000000"/>
        <rFont val="Arial"/>
        <family val="0"/>
        <charset val="1"/>
      </rPr>
      <t xml:space="preserve"> dira, eta hitzaldiak eta irakurraldiak ere programan sartuko dira. </t>
    </r>
    <r>
      <rPr>
        <sz val="9"/>
        <color rgb="FFFF0000"/>
        <rFont val="Arial"/>
        <family val="0"/>
        <charset val="1"/>
      </rPr>
      <t xml:space="preserve">Itsasunren</t>
    </r>
    <r>
      <rPr>
        <sz val="9"/>
        <color rgb="FF000000"/>
        <rFont val="Arial"/>
        <family val="0"/>
        <charset val="1"/>
      </rPr>
      <t xml:space="preserve"> herriko erakusleihoetan, hainbat poetaren bertsoak </t>
    </r>
    <r>
      <rPr>
        <sz val="9"/>
        <color rgb="FFFF0000"/>
        <rFont val="Arial"/>
        <family val="0"/>
        <charset val="1"/>
      </rPr>
      <t xml:space="preserve">jantoko</t>
    </r>
    <r>
      <rPr>
        <sz val="9"/>
        <color rgb="FF000000"/>
        <rFont val="Arial"/>
        <family val="0"/>
        <charset val="1"/>
      </rPr>
      <t xml:space="preserve"> dira, eta tartean, </t>
    </r>
    <r>
      <rPr>
        <sz val="9"/>
        <color rgb="FFFF0000"/>
        <rFont val="Arial"/>
        <family val="0"/>
        <charset val="1"/>
      </rPr>
      <t xml:space="preserve">mundu mailako poetak bezala</t>
    </r>
    <r>
      <rPr>
        <sz val="9"/>
        <color rgb="FF000000"/>
        <rFont val="Arial"/>
        <family val="0"/>
        <charset val="1"/>
      </rPr>
      <t xml:space="preserve">, Forugh Farrokhzad, Anne Sexton, Jose Luis Otamendi, Miren Agur Meabe, eta </t>
    </r>
    <r>
      <rPr>
        <sz val="9"/>
        <color rgb="FFFF0000"/>
        <rFont val="Arial"/>
        <family val="0"/>
        <charset val="1"/>
      </rPr>
      <t xml:space="preserve">bestekien</t>
    </r>
    <r>
      <rPr>
        <sz val="9"/>
        <color rgb="FF000000"/>
        <rFont val="Arial"/>
        <family val="0"/>
        <charset val="1"/>
      </rPr>
      <t xml:space="preserve"> poemak ikusiko dira.
Euskaltzaindiak, </t>
    </r>
    <r>
      <rPr>
        <sz val="9"/>
        <color rgb="FFFF0000"/>
        <rFont val="Arial"/>
        <family val="0"/>
        <charset val="1"/>
      </rPr>
      <t xml:space="preserve">Itsasuko</t>
    </r>
    <r>
      <rPr>
        <sz val="9"/>
        <color rgb="FF000000"/>
        <rFont val="Arial"/>
        <family val="0"/>
        <charset val="1"/>
      </rPr>
      <t xml:space="preserve"> Herriko Etxearekin, Euskal Kultur Erakundearekin eta Euskararen Erakunde Publikoarekin bat egin dute programaren antolatzean, eta horrela, poesiari presentzia handiagoa emateko ahalegina egingo dute.
Egun eta erdiko programaren zehaztasun gehiago emateko, </t>
    </r>
    <r>
      <rPr>
        <sz val="9"/>
        <color rgb="FFFF0000"/>
        <rFont val="Arial"/>
        <family val="0"/>
        <charset val="1"/>
      </rPr>
      <t xml:space="preserve">Euskaltzaindiak aipatu dute, baina oraindik ez dago zehaztasun handi bat.</t>
    </r>
    <r>
      <rPr>
        <sz val="9"/>
        <color rgb="FF000000"/>
        <rFont val="Arial"/>
        <family val="0"/>
        <charset val="1"/>
      </rPr>
      <t xml:space="preserve"> </t>
    </r>
    <r>
      <rPr>
        <sz val="9"/>
        <color rgb="FFFF0000"/>
        <rFont val="Arial"/>
        <family val="0"/>
        <charset val="1"/>
      </rPr>
      <t xml:space="preserve">Irailaren 28 eta 29an izango den jaialdia, poesi-gileei eta poesi-gile-nabarietzat</t>
    </r>
    <r>
      <rPr>
        <sz val="9"/>
        <color rgb="FF000000"/>
        <rFont val="Arial"/>
        <family val="0"/>
        <charset val="1"/>
      </rPr>
      <t xml:space="preserve"> interesgarria izan daitezke, eta </t>
    </r>
    <r>
      <rPr>
        <sz val="9"/>
        <color rgb="FFFF0000"/>
        <rFont val="Arial"/>
        <family val="0"/>
        <charset val="1"/>
      </rPr>
      <t xml:space="preserve">Itsasunren</t>
    </r>
    <r>
      <rPr>
        <sz val="9"/>
        <color rgb="FF000000"/>
        <rFont val="Arial"/>
        <family val="0"/>
        <charset val="1"/>
      </rPr>
      <t xml:space="preserve"> herrian poesiaren joera berria ezagutzeko aukera emango die."</t>
    </r>
  </si>
  <si>
    <r>
      <rPr>
        <sz val="9"/>
        <color rgb="FFFF0000"/>
        <rFont val="Arial"/>
        <family val="0"/>
        <charset val="1"/>
      </rPr>
      <t xml:space="preserve">Ondo pentsatuta, hurrengo testuaren edukirik garrantzitsuena:
</t>
    </r>
    <r>
      <rPr>
        <sz val="9"/>
        <color rgb="FF000000"/>
        <rFont val="Arial"/>
        <family val="0"/>
        <charset val="1"/>
      </rPr>
      <t xml:space="preserve">
"Egun eta erdiko programa izango dela aurreratu dute oraingoz. Irailaren 28an, egun osoz, eta irailaren 29an, goizez. Euskal poeten lana gizarteratzea da helburua, baina nazioarteko poetak ere izango direla esan dute."
Testu honek festibalaren helburua eta programari buruzko informazio zuzena eskaintzen du, eta horregatik garrantzitsua da. Adibidez, festibala egun osoz eta goizez ospatuko </t>
    </r>
    <r>
      <rPr>
        <sz val="9"/>
        <color rgb="FFFF0000"/>
        <rFont val="Arial"/>
        <family val="0"/>
        <charset val="1"/>
      </rPr>
      <t xml:space="preserve">den</t>
    </r>
    <r>
      <rPr>
        <sz val="9"/>
        <color rgb="FF000000"/>
        <rFont val="Arial"/>
        <family val="0"/>
        <charset val="1"/>
      </rPr>
      <t xml:space="preserve"> adierazi nahi du, eta poeten lana </t>
    </r>
    <r>
      <rPr>
        <sz val="9"/>
        <color rgb="FFFF0000"/>
        <rFont val="Arial"/>
        <family val="0"/>
        <charset val="1"/>
      </rPr>
      <t xml:space="preserve">gizarteratzeak</t>
    </r>
    <r>
      <rPr>
        <sz val="9"/>
        <color rgb="FF000000"/>
        <rFont val="Arial"/>
        <family val="0"/>
        <charset val="1"/>
      </rPr>
      <t xml:space="preserve"> helburua izatea.
Laburtuta, testu honek festibalaren balioa eta garrantzia nabarmendu nahi du, eta hainbat poetaren parte hartzea eta nazioarteko poeten baliagarria ere adierazi nahi du.
Baliteke, testu honek festibalaren programari buruzko informazio gehigarriak eskaintzen dituela, baina edukirik garrantzitsuena helburua eta poeten parte hartzea adierazten du.</t>
    </r>
  </si>
  <si>
    <r>
      <rPr>
        <sz val="9"/>
        <color rgb="FF000000"/>
        <rFont val="Arial"/>
        <family val="0"/>
        <charset val="1"/>
      </rPr>
      <t xml:space="preserve">Zer?
- </t>
    </r>
    <r>
      <rPr>
        <strike val="true"/>
        <sz val="9"/>
        <color rgb="FF000000"/>
        <rFont val="Arial"/>
        <family val="0"/>
        <charset val="1"/>
      </rPr>
      <t xml:space="preserve">Eako Poesia Egunak</t>
    </r>
    <r>
      <rPr>
        <sz val="9"/>
        <color rgb="FF000000"/>
        <rFont val="Arial"/>
        <family val="0"/>
        <charset val="1"/>
      </rPr>
      <t xml:space="preserve">, poesia jaialdia, Itsasun (Lapurdi)</t>
    </r>
    <r>
      <rPr>
        <sz val="9"/>
        <color rgb="FFFF0000"/>
        <rFont val="Arial"/>
        <family val="0"/>
        <charset val="1"/>
      </rPr>
      <t xml:space="preserve">an</t>
    </r>
    <r>
      <rPr>
        <sz val="9"/>
        <color rgb="FF000000"/>
        <rFont val="Arial"/>
        <family val="0"/>
        <charset val="1"/>
      </rPr>
      <t xml:space="preserve"> izango da.
Nork?
- Euskaltzaindiak, Herriari Emon Arnasa elkartea, Itsasuko Herriko Etxea, Euskal Kultur Erakundeak eta Euskararen Erakunde Publikoak elkarlanean antolatzeko parte hartuko dute. Nazioarteko eta Euskal poeten </t>
    </r>
    <r>
      <rPr>
        <strike val="true"/>
        <sz val="9"/>
        <color rgb="FF000000"/>
        <rFont val="Arial"/>
        <family val="0"/>
        <charset val="1"/>
      </rPr>
      <t xml:space="preserve">parte hartzea</t>
    </r>
    <r>
      <rPr>
        <sz val="9"/>
        <color rgb="FF000000"/>
        <rFont val="Arial"/>
        <family val="0"/>
        <charset val="1"/>
      </rPr>
      <t xml:space="preserve"> espero da.
Noiz?
- Irailaren 28 eta 29an, egun osoz eta goizez.
Non?
- Itsasun, Lapurdian, hain zuzen ere.
Zergatik?
- Helburua Euskal poeten lana gizarteratzea da, eta horregatik, poesiari presentzia handiagoa emateko aukera izango dute </t>
    </r>
    <r>
      <rPr>
        <sz val="9"/>
        <color rgb="FFFF0000"/>
        <rFont val="Arial"/>
        <family val="0"/>
        <charset val="1"/>
      </rPr>
      <t xml:space="preserve">Itsasunko</t>
    </r>
    <r>
      <rPr>
        <sz val="9"/>
        <color rgb="FF000000"/>
        <rFont val="Arial"/>
        <family val="0"/>
        <charset val="1"/>
      </rPr>
      <t xml:space="preserve"> erakusleihoetan.
Nola?
-</t>
    </r>
    <r>
      <rPr>
        <sz val="9"/>
        <color rgb="FFFF0000"/>
        <rFont val="Arial"/>
        <family val="0"/>
        <charset val="1"/>
      </rPr>
      <t xml:space="preserve"> Programan poemak erakusleihoetan</t>
    </r>
    <r>
      <rPr>
        <sz val="9"/>
        <color rgb="FF000000"/>
        <rFont val="Arial"/>
        <family val="0"/>
        <charset val="1"/>
      </rPr>
      <t xml:space="preserve">, hitzaldiak eta irakurraldiak izango dira. Bertso lerroak </t>
    </r>
    <r>
      <rPr>
        <sz val="9"/>
        <color rgb="FFFF0000"/>
        <rFont val="Arial"/>
        <family val="0"/>
        <charset val="1"/>
      </rPr>
      <t xml:space="preserve">jantziko dira </t>
    </r>
    <r>
      <rPr>
        <sz val="9"/>
        <color rgb="FF000000"/>
        <rFont val="Arial"/>
        <family val="0"/>
        <charset val="1"/>
      </rPr>
      <t xml:space="preserve">Forugh Farrokhzad, Anne Sexton, Jose Luis Otamendi, Miren Agur Meabe, Aurelia Arkotxa, Bernardo Atxaga, Raymond Carver, Angel Erro, Castillo Suarez, Itxaro Borda, Jon Gerediaga eta Alejandra Pizarnik-enak.</t>
    </r>
  </si>
  <si>
    <r>
      <rPr>
        <strike val="true"/>
        <sz val="9"/>
        <color rgb="FF000000"/>
        <rFont val="Arial"/>
        <family val="0"/>
        <charset val="1"/>
      </rPr>
      <t xml:space="preserve">Eako Poesia Egunak,</t>
    </r>
    <r>
      <rPr>
        <sz val="9"/>
        <color rgb="FF000000"/>
        <rFont val="Arial"/>
        <family val="0"/>
        <charset val="1"/>
      </rPr>
      <t xml:space="preserve"> Itsasun (Lapurdi</t>
    </r>
    <r>
      <rPr>
        <sz val="9"/>
        <color rgb="FFFF0000"/>
        <rFont val="Arial"/>
        <family val="0"/>
        <charset val="1"/>
      </rPr>
      <t xml:space="preserve">)an</t>
    </r>
    <r>
      <rPr>
        <sz val="9"/>
        <color rgb="FF000000"/>
        <rFont val="Arial"/>
        <family val="0"/>
        <charset val="1"/>
      </rPr>
      <t xml:space="preserve">, irailaren 28 eta 29an izango da. Helburua Euskal poeten lana gizarteratzea da, baina nazioarteko poetak ere parte hartuko dute. Programan </t>
    </r>
    <r>
      <rPr>
        <sz val="9"/>
        <color rgb="FFFF0000"/>
        <rFont val="Arial"/>
        <family val="0"/>
        <charset val="1"/>
      </rPr>
      <t xml:space="preserve">poemak erakusleihoetan</t>
    </r>
    <r>
      <rPr>
        <sz val="9"/>
        <color rgb="FF000000"/>
        <rFont val="Arial"/>
        <family val="0"/>
        <charset val="1"/>
      </rPr>
      <t xml:space="preserve">, hitzaldiak eta irakurraldiak izango dira, eta </t>
    </r>
    <r>
      <rPr>
        <sz val="9"/>
        <color rgb="FFFF0000"/>
        <rFont val="Arial"/>
        <family val="0"/>
        <charset val="1"/>
      </rPr>
      <t xml:space="preserve">Itsasunko</t>
    </r>
    <r>
      <rPr>
        <sz val="9"/>
        <color rgb="FF000000"/>
        <rFont val="Arial"/>
        <family val="0"/>
        <charset val="1"/>
      </rPr>
      <t xml:space="preserve"> </t>
    </r>
    <r>
      <rPr>
        <sz val="9"/>
        <color rgb="FFFF0000"/>
        <rFont val="Arial"/>
        <family val="0"/>
        <charset val="1"/>
      </rPr>
      <t xml:space="preserve">erakusleihoetan</t>
    </r>
    <r>
      <rPr>
        <sz val="9"/>
        <color rgb="FF000000"/>
        <rFont val="Arial"/>
        <family val="0"/>
        <charset val="1"/>
      </rPr>
      <t xml:space="preserve"> hainbat poetaren bertsoak jantziko dira.</t>
    </r>
  </si>
  <si>
    <r>
      <rPr>
        <sz val="9"/>
        <color rgb="FF999999"/>
        <rFont val="Arial"/>
        <family val="0"/>
        <charset val="1"/>
      </rPr>
      <t xml:space="preserve">Hurrengo testua laburtu da:
</t>
    </r>
    <r>
      <rPr>
        <sz val="9"/>
        <color rgb="FF000000"/>
        <rFont val="Arial"/>
        <family val="0"/>
        <charset val="1"/>
      </rPr>
      <t xml:space="preserve">
"Galeusca topaketak berreskuratu dira, hamar urteko etenaren ostean. Horrez gain, [Espainiako] Estatuan egin da idazleen elkarteen arteko konferentzia bat, idazleen eskubideak lantzeko. Kontrarreforma bat gertatzen ari da, eta horregatik, Galeuscari </t>
    </r>
    <r>
      <rPr>
        <sz val="9"/>
        <color rgb="FFFF0000"/>
        <rFont val="Arial"/>
        <family val="0"/>
        <charset val="1"/>
      </rPr>
      <t xml:space="preserve">berrekiteko erabaki da egin</t>
    </r>
    <r>
      <rPr>
        <sz val="9"/>
        <color rgb="FF000000"/>
        <rFont val="Arial"/>
        <family val="0"/>
        <charset val="1"/>
      </rPr>
      <t xml:space="preserve">. Itzulpengintza funtsezkoa da </t>
    </r>
    <r>
      <rPr>
        <sz val="9"/>
        <color rgb="FFFF0000"/>
        <rFont val="Arial"/>
        <family val="0"/>
        <charset val="1"/>
      </rPr>
      <t xml:space="preserve">gure</t>
    </r>
    <r>
      <rPr>
        <sz val="9"/>
        <color rgb="FF000000"/>
        <rFont val="Arial"/>
        <family val="0"/>
        <charset val="1"/>
      </rPr>
      <t xml:space="preserve"> literaturentzat, eta horregatik, maiatzaren 29ko topaketan itzulpengintza izango da ardatz.
</t>
    </r>
    <r>
      <rPr>
        <sz val="9"/>
        <color rgb="FFFF0000"/>
        <rFont val="Arial"/>
        <family val="0"/>
        <charset val="1"/>
      </rPr>
      <t xml:space="preserve">
Hiru literaturen</t>
    </r>
    <r>
      <rPr>
        <sz val="9"/>
        <color rgb="FF000000"/>
        <rFont val="Arial"/>
        <family val="0"/>
        <charset val="1"/>
      </rPr>
      <t xml:space="preserve"> arteko harremana sustatzea da Galeuscako helburua, eta hori lortu ahal izateko, muga administratiboak gainditzeko modu bat behar dugu. Askotan ez dugu ezagutzen gure hizkuntzako literatura kanpoan nola baliatzen den, eta horregatik, Galeusca gure arteko ezagutza sustatzeko esparru bat bultzatu nahi dugu.
Hamar urteko etenaldiak zubiak ahuldu egin </t>
    </r>
    <r>
      <rPr>
        <sz val="9"/>
        <color rgb="FFFF0000"/>
        <rFont val="Arial"/>
        <family val="0"/>
        <charset val="1"/>
      </rPr>
      <t xml:space="preserve">zituzten</t>
    </r>
    <r>
      <rPr>
        <sz val="9"/>
        <color rgb="FF000000"/>
        <rFont val="Arial"/>
        <family val="0"/>
        <charset val="1"/>
      </rPr>
      <t xml:space="preserve">, baina Galeusca berreskuratzeko arrazoi berriak dira. Idazle gazteek literatura horietan erreferentziak izateak interesgarria da, eta horregatik, topaketan harremanak eta elkar </t>
    </r>
    <r>
      <rPr>
        <sz val="9"/>
        <color rgb="FFFF0000"/>
        <rFont val="Arial"/>
        <family val="0"/>
        <charset val="1"/>
      </rPr>
      <t xml:space="preserve">ezagutza</t>
    </r>
    <r>
      <rPr>
        <sz val="9"/>
        <color rgb="FF000000"/>
        <rFont val="Arial"/>
        <family val="0"/>
        <charset val="1"/>
      </rPr>
      <t xml:space="preserve"> sustatzea garrantzitsua izango da.
Maiatzaren 29an, Palma (Balearrak) egingo dira topaketak, eta horretarako eguneratuta eta egungo egoerari </t>
    </r>
    <r>
      <rPr>
        <sz val="9"/>
        <color rgb="FFFF0000"/>
        <rFont val="Arial"/>
        <family val="0"/>
        <charset val="1"/>
      </rPr>
      <t xml:space="preserve">begirakoa</t>
    </r>
    <r>
      <rPr>
        <sz val="9"/>
        <color rgb="FF000000"/>
        <rFont val="Arial"/>
        <family val="0"/>
        <charset val="1"/>
      </rPr>
      <t xml:space="preserve"> den manifestu bat sortu da. Itzulpengintza, muga administratiboak gainditzeko moduak, eta </t>
    </r>
    <r>
      <rPr>
        <sz val="9"/>
        <color rgb="FFFF0000"/>
        <rFont val="Arial"/>
        <family val="0"/>
        <charset val="1"/>
      </rPr>
      <t xml:space="preserve">gure literaturen </t>
    </r>
    <r>
      <rPr>
        <sz val="9"/>
        <color rgb="FF000000"/>
        <rFont val="Arial"/>
        <family val="0"/>
        <charset val="1"/>
      </rPr>
      <t xml:space="preserve">arteko harremanak sustatzeko bideak, topaketan ardatz izango dira.
Galeusca berriro bultzatu duten idazleen elkarteen eragileek, hizkuntza, kultura eta literatura nazionalak elkarlanean jartzea helburu </t>
    </r>
    <r>
      <rPr>
        <sz val="9"/>
        <color rgb="FFFF0000"/>
        <rFont val="Arial"/>
        <family val="0"/>
        <charset val="1"/>
      </rPr>
      <t xml:space="preserve">duzte</t>
    </r>
    <r>
      <rPr>
        <sz val="9"/>
        <color rgb="FF000000"/>
        <rFont val="Arial"/>
        <family val="0"/>
        <charset val="1"/>
      </rPr>
      <t xml:space="preserve">, eta horregatik, gure errealitatea eta baliabideak kontuan hartu behar dira aldaketa prozesuetan."</t>
    </r>
  </si>
  <si>
    <r>
      <rPr>
        <sz val="9"/>
        <color rgb="FF000000"/>
        <rFont val="Arial"/>
        <family val="0"/>
        <charset val="1"/>
      </rPr>
      <t xml:space="preserve">Testu honek Galeusca topaketaren berreskurpenari buruz hitz egiten du, eta hiru idazleen </t>
    </r>
    <r>
      <rPr>
        <sz val="9"/>
        <color rgb="FFFF0000"/>
        <rFont val="Arial"/>
        <family val="0"/>
        <charset val="1"/>
      </rPr>
      <t xml:space="preserve">elkarteak</t>
    </r>
    <r>
      <rPr>
        <sz val="9"/>
        <color rgb="FF000000"/>
        <rFont val="Arial"/>
        <family val="0"/>
        <charset val="1"/>
      </rPr>
      <t xml:space="preserve"> (Euskal, Katalanezko eta Galizierazko Idazleen Elkarteak) antolatutako proiektu hori bultzatzeko motibazioak eta </t>
    </r>
    <r>
      <rPr>
        <sz val="9"/>
        <color rgb="FFFF0000"/>
        <rFont val="Arial"/>
        <family val="0"/>
        <charset val="1"/>
      </rPr>
      <t xml:space="preserve">helburiak</t>
    </r>
    <r>
      <rPr>
        <sz val="9"/>
        <color rgb="FF000000"/>
        <rFont val="Arial"/>
        <family val="0"/>
        <charset val="1"/>
      </rPr>
      <t xml:space="preserve"> azpimarratzen ditu. </t>
    </r>
    <r>
      <rPr>
        <sz val="9"/>
        <color rgb="FFFF0000"/>
        <rFont val="Arial"/>
        <family val="0"/>
        <charset val="1"/>
      </rPr>
      <t xml:space="preserve">Hurrengoak</t>
    </r>
    <r>
      <rPr>
        <sz val="9"/>
        <color rgb="FF000000"/>
        <rFont val="Arial"/>
        <family val="0"/>
        <charset val="1"/>
      </rPr>
      <t xml:space="preserve"> da testu horretan aurkezten diren gaiak:
- Kontrarreforma eta idazleen eskubideak: Joxemari Karrera </t>
    </r>
    <r>
      <rPr>
        <sz val="9"/>
        <color rgb="FFFF0000"/>
        <rFont val="Arial"/>
        <family val="0"/>
        <charset val="1"/>
      </rPr>
      <t xml:space="preserve">Zabala</t>
    </r>
    <r>
      <rPr>
        <sz val="9"/>
        <color rgb="FF000000"/>
        <rFont val="Arial"/>
        <family val="0"/>
        <charset val="1"/>
      </rPr>
      <t xml:space="preserve">, Euskal Idazleen Elkarteko ordezkariak, </t>
    </r>
    <r>
      <rPr>
        <sz val="9"/>
        <color rgb="FFFF0000"/>
        <rFont val="Arial"/>
        <family val="0"/>
        <charset val="1"/>
      </rPr>
      <t xml:space="preserve">kontrarreformaren aurka jarraituz</t>
    </r>
    <r>
      <rPr>
        <sz val="9"/>
        <color rgb="FF000000"/>
        <rFont val="Arial"/>
        <family val="0"/>
        <charset val="1"/>
      </rPr>
      <t xml:space="preserve">, Galeusca topaketak berreskuratu nahi ditu. Idazleen eskubideak eta artisten estatutua lantzeko konferentzia bat antolatu da Espainiako Estatuan, eta horren bidez, </t>
    </r>
    <r>
      <rPr>
        <strike val="true"/>
        <sz val="9"/>
        <color rgb="FF000000"/>
        <rFont val="Arial"/>
        <family val="0"/>
        <charset val="1"/>
      </rPr>
      <t xml:space="preserve">hiru hizkuntza eta kultura elkarlanean jartzea eta indartzea lortu nahi dute.
</t>
    </r>
    <r>
      <rPr>
        <sz val="9"/>
        <color rgb="FF000000"/>
        <rFont val="Arial"/>
        <family val="0"/>
        <charset val="1"/>
      </rPr>
      <t xml:space="preserve">
- Hizkuntzaren eraso judizialak: </t>
    </r>
    <r>
      <rPr>
        <strike val="true"/>
        <sz val="9"/>
        <color rgb="FF000000"/>
        <rFont val="Arial"/>
        <family val="0"/>
        <charset val="1"/>
      </rPr>
      <t xml:space="preserve">Idazleek erabaki dute berriro elkartzea, hizkuntzaren aurkako eraso judizialak aurkitzeari begira</t>
    </r>
    <r>
      <rPr>
        <sz val="9"/>
        <color rgb="FF000000"/>
        <rFont val="Arial"/>
        <family val="0"/>
        <charset val="1"/>
      </rPr>
      <t xml:space="preserve">. Eduardo Galeanoz esan bezala, </t>
    </r>
    <r>
      <rPr>
        <strike val="true"/>
        <sz val="9"/>
        <color rgb="FF000000"/>
        <rFont val="Arial"/>
        <family val="0"/>
        <charset val="1"/>
      </rPr>
      <t xml:space="preserve">hizkuntza eta kultura baliagarriak dira, eta folklorea duten estatu handien aurrean elkartu beharra dago</t>
    </r>
    <r>
      <rPr>
        <sz val="9"/>
        <color rgb="FF000000"/>
        <rFont val="Arial"/>
        <family val="0"/>
        <charset val="1"/>
      </rPr>
      <t xml:space="preserve">.
- Manifestua eta itzulpengintza: Maiatzaren 29an egingo den topaketaren manifestua, Pobleteko manifestua deitu zena, </t>
    </r>
    <r>
      <rPr>
        <strike val="true"/>
        <sz val="9"/>
        <color rgb="FF000000"/>
        <rFont val="Arial"/>
        <family val="0"/>
        <charset val="1"/>
      </rPr>
      <t xml:space="preserve">berreskuratuko</t>
    </r>
    <r>
      <rPr>
        <sz val="9"/>
        <color rgb="FF000000"/>
        <rFont val="Arial"/>
        <family val="0"/>
        <charset val="1"/>
      </rPr>
      <t xml:space="preserve"> da. Itzulpengintza funtsezkoa da </t>
    </r>
    <r>
      <rPr>
        <sz val="9"/>
        <color rgb="FFFF0000"/>
        <rFont val="Arial"/>
        <family val="0"/>
        <charset val="1"/>
      </rPr>
      <t xml:space="preserve">gure literaturentzat,</t>
    </r>
    <r>
      <rPr>
        <sz val="9"/>
        <color rgb="FF000000"/>
        <rFont val="Arial"/>
        <family val="0"/>
        <charset val="1"/>
      </rPr>
      <t xml:space="preserve"> eta Galeusca topaketan, itzulpengintza ardatza izango da.
- Muga administratiboak eta harremanak: Galeusca topaketak, hiru hizkuntza eta kultura elkarlanean jartzeko eta ezagutza sustatzeko esparrua izan nahi dute. Idazleek, hizkuntzaren muga administratiboak gainditzeko modu bat bezala ulertzen dute Galeuscari.
- Harremanen galera: Topaketa-topaketatik, hiru hizkuntza eta kultura arteko harremanak ahaldutsi egin dira. Idazle gazteek, hizkuntza-hizkuntzako harremanetan, literatura horietan ere erreferentziak izaten hasi dira. Baina, idazleek aldarrikatzen dute koherentzatzeko beharra, eta ez daude periferia; zentraltasuna guretzat da.
- Maiatzaren 29an, Palma (Balearrak) egingo den topaketaren programaz gain, idazleen eskubideak eta artisten estatutua lantzeko eztabaida eta hizkuntza-hizkuntzako itzulpengintza izango dira.</t>
    </r>
  </si>
  <si>
    <r>
      <rPr>
        <sz val="9"/>
        <color rgb="FF000000"/>
        <rFont val="Arial"/>
        <family val="0"/>
        <charset val="1"/>
      </rPr>
      <t xml:space="preserve">Zer: Galeusca topaketen berreskurpena eta hiru literaturen arteko </t>
    </r>
    <r>
      <rPr>
        <sz val="9"/>
        <color rgb="FFFF0000"/>
        <rFont val="Arial"/>
        <family val="0"/>
        <charset val="1"/>
      </rPr>
      <t xml:space="preserve">harremanen</t>
    </r>
    <r>
      <rPr>
        <sz val="9"/>
        <color rgb="FF000000"/>
        <rFont val="Arial"/>
        <family val="0"/>
        <charset val="1"/>
      </rPr>
      <t xml:space="preserve"> indartzea.
Nork: Joxemari Karrere Zabala, Euskal Idazleen Elkarteko ordezkaria, Katalanezko eta Galizierazko Idazleen Elkarteekin batera.
Noiz: Maiatzaren 29an, 2024an.
Non: Palman, Balearrak.
Zergatik: Idazleen eskubideak eta hizkuntza politikak babesteko, eta hiru literaturen arteko zubiak indartzeko.
Nola: Galeusca topaketen </t>
    </r>
    <r>
      <rPr>
        <sz val="9"/>
        <color rgb="FFFF0000"/>
        <rFont val="Arial"/>
        <family val="0"/>
        <charset val="1"/>
      </rPr>
      <t xml:space="preserve">berreskurpen</t>
    </r>
    <r>
      <rPr>
        <sz val="9"/>
        <color rgb="FF000000"/>
        <rFont val="Arial"/>
        <family val="0"/>
        <charset val="1"/>
      </rPr>
      <t xml:space="preserve"> bidez, hiru </t>
    </r>
    <r>
      <rPr>
        <sz val="9"/>
        <color rgb="FFFF0000"/>
        <rFont val="Arial"/>
        <family val="0"/>
        <charset val="1"/>
      </rPr>
      <t xml:space="preserve">idazleen</t>
    </r>
    <r>
      <rPr>
        <sz val="9"/>
        <color rgb="FF000000"/>
        <rFont val="Arial"/>
        <family val="0"/>
        <charset val="1"/>
      </rPr>
      <t xml:space="preserve"> elkarteak elkartzen dute eta </t>
    </r>
    <r>
      <rPr>
        <sz val="9"/>
        <color rgb="FFFF0000"/>
        <rFont val="Arial"/>
        <family val="0"/>
        <charset val="1"/>
      </rPr>
      <t xml:space="preserve">programak</t>
    </r>
    <r>
      <rPr>
        <sz val="9"/>
        <color rgb="FF000000"/>
        <rFont val="Arial"/>
        <family val="0"/>
        <charset val="1"/>
      </rPr>
      <t xml:space="preserve"> antolatu dute, hainbat hitzaldia, irakurketa eta topaketa izateko. Horietan, itzulpengintza funtsezkoa izango da, eta idazleen eskubideak eta hizkuntza erasoak aztertu eta ulertzeko aukera ematen dute.
Manifestuan, </t>
    </r>
    <r>
      <rPr>
        <strike val="true"/>
        <sz val="9"/>
        <color rgb="FF000000"/>
        <rFont val="Arial"/>
        <family val="0"/>
        <charset val="1"/>
      </rPr>
      <t xml:space="preserve">1984an egin zen lehen Galeusca topaketaren 40. urteurrena ospatzen dute</t>
    </r>
    <r>
      <rPr>
        <sz val="9"/>
        <color rgb="FF000000"/>
        <rFont val="Arial"/>
        <family val="0"/>
        <charset val="1"/>
      </rPr>
      <t xml:space="preserve">, eta hiru elkarteak berriro elkartzen dute, hizkuntza eta kultura babesteko eta gure literaturak indartzeko.
Topaketen helburua da hiru literaturen arteko harremanak indartzea, eta hizkuntza eta kultura babesteko bideak bilatzea. Itzulpengintza eta </t>
    </r>
    <r>
      <rPr>
        <sz val="9"/>
        <color rgb="FFFF0000"/>
        <rFont val="Arial"/>
        <family val="0"/>
        <charset val="1"/>
      </rPr>
      <t xml:space="preserve">gure</t>
    </r>
    <r>
      <rPr>
        <sz val="9"/>
        <color rgb="FF000000"/>
        <rFont val="Arial"/>
        <family val="0"/>
        <charset val="1"/>
      </rPr>
      <t xml:space="preserve"> hizkuntzako errealitateak ezagutzeko modu bat ere izango da.
Hiru literaturen arteko harremanak, hain zuzen ere, ahuldu egin </t>
    </r>
    <r>
      <rPr>
        <sz val="9"/>
        <color rgb="FFFF0000"/>
        <rFont val="Arial"/>
        <family val="0"/>
        <charset val="1"/>
      </rPr>
      <t xml:space="preserve">dute</t>
    </r>
    <r>
      <rPr>
        <sz val="9"/>
        <color rgb="FF000000"/>
        <rFont val="Arial"/>
        <family val="0"/>
        <charset val="1"/>
      </rPr>
      <t xml:space="preserve"> azken hamarkadetan, eta Galeusca </t>
    </r>
    <r>
      <rPr>
        <sz val="9"/>
        <color rgb="FFFF0000"/>
        <rFont val="Arial"/>
        <family val="0"/>
        <charset val="1"/>
      </rPr>
      <t xml:space="preserve">topaketak</t>
    </r>
    <r>
      <rPr>
        <sz val="9"/>
        <color rgb="FF000000"/>
        <rFont val="Arial"/>
        <family val="0"/>
        <charset val="1"/>
      </rPr>
      <t xml:space="preserve"> horrelako bilerak sustatzeko ahalegina egin dute.</t>
    </r>
  </si>
  <si>
    <t xml:space="preserve"># Galeusca Topaketak Berrezartzea
## Zergatik utzi zitzaion topaketak egiteari?
Joxemari Karrera Zabala, idazle eta Euskal Idazleen Elkarteko ordezkaria, kontrarreformaren beharra bultzatzen du, hizkuntza eta kultura erresistentziak aurkitzeko. Horretarako, Galeusca topaketak berrezartzen ditu, hiru literaturen arteko zubiak indartzeko eta elkar ezagutzeko.
## Zerk bultzatu zaituzte proiektuari berrekitera?
Idazleen eskubideak lantzeko [Espainiako] Estatuan egin da konferentzia bat, eta horren bitartez, Galeuscari berrekiteko aukera ikusi dute. Gure hizkuntzak eta kulturak bigarren mailan geratzen dira, eta eraso judizialak izaten ari dira. Horregatik, berriro elkartzea eta gure literatura nazionalak elkarlanean jartzea erabaki dute.
## Atzeraldi baten beldurra edo mehatxua dago topaketen atzean?
Eduardo Galeano-ren hitzak erlazionatzen dira: "halako estatu handiek dituztela literatura eta kultura, eta guk daukagula folklorea, eta horren aurrean elkartu beharra daukagu." Kontrarreformaren kontra, Galeusca berrezartzen dute.
## Manifestu bat irakurriz hasiko dituzue maiatzaren 29ko topaketak. Zer dio testu horrek?
Manifestu horrek 1984ko lehen Galeusca topaketaren 40. urteurrena betetzen du, eta Pobleteko manifestua deitu zena sinatu zen orduan. Aukera ona zela halako manifestu bat sortzea, eguneratua eta egungo egoerari begirakoa, Galeuscaren berpiztea eta indartzearen zergatiak azalduz.
## Itzulpengintza izango da topaketen ardatza.
Itzulpengintza funtsezkoa da gure literaturentzat, kanpoko literatura gurean ezagutzeko eta gurea kanpoan ezagutarazteko ere.
## Muga administratiboak gainditzeko modu bat ere badela aipatu duzue topaketen deialdian.
Galeusca gure arteko ezagutza sustatzeko esparru bat bada, hiru literaturen arteko harremanak indartzen ditu.
## Nola dago hiru literaturen arteko harremana egun? Zubiak ahuldu al ditu hamar urteko etenaldiak?
Hiru literaturen arteko harremana interesgarria da, baina pixka bat galdu egin da. Idazle gazteek literatura horietan ere erreferentziak izaten dute, baina interesgarria da gure arteko harremanak indartzea eta elkar ezagutzeko aukera ematea. Zentraltasuna gurean dauka, eta aldarrikatzen dugunarekin koherenteak izan behar dugu.</t>
  </si>
  <si>
    <r>
      <rPr>
        <sz val="9"/>
        <color rgb="FF000000"/>
        <rFont val="Arial"/>
        <family val="0"/>
        <charset val="1"/>
      </rPr>
      <t xml:space="preserve">Euskal Herria, hurrengo urteetan, </t>
    </r>
    <r>
      <rPr>
        <strike val="true"/>
        <sz val="9"/>
        <color rgb="FF000000"/>
        <rFont val="Arial"/>
        <family val="0"/>
        <charset val="1"/>
      </rPr>
      <t xml:space="preserve">politiko berriak eta estatutu berri bat lortzeko bidean</t>
    </r>
    <r>
      <rPr>
        <sz val="9"/>
        <color rgb="FF000000"/>
        <rFont val="Arial"/>
        <family val="0"/>
        <charset val="1"/>
      </rPr>
      <t xml:space="preserve"> </t>
    </r>
    <r>
      <rPr>
        <sz val="9"/>
        <color rgb="FFFF0000"/>
        <rFont val="Arial"/>
        <family val="0"/>
        <charset val="1"/>
      </rPr>
      <t xml:space="preserve">daude</t>
    </r>
    <r>
      <rPr>
        <sz val="9"/>
        <color rgb="FF000000"/>
        <rFont val="Arial"/>
        <family val="0"/>
        <charset val="1"/>
      </rPr>
      <t xml:space="preserve">. EAJren </t>
    </r>
    <r>
      <rPr>
        <strike val="true"/>
        <sz val="9"/>
        <color rgb="FF000000"/>
        <rFont val="Arial"/>
        <family val="0"/>
        <charset val="1"/>
      </rPr>
      <t xml:space="preserve">lehendakaria</t>
    </r>
    <r>
      <rPr>
        <sz val="9"/>
        <color rgb="FF000000"/>
        <rFont val="Arial"/>
        <family val="0"/>
        <charset val="1"/>
      </rPr>
      <t xml:space="preserve">, Andoni </t>
    </r>
    <r>
      <rPr>
        <sz val="9"/>
        <color rgb="FFFF0000"/>
        <rFont val="Arial"/>
        <family val="0"/>
        <charset val="1"/>
      </rPr>
      <t xml:space="preserve">Ortuzar</t>
    </r>
    <r>
      <rPr>
        <sz val="9"/>
        <color rgb="FF000000"/>
        <rFont val="Arial"/>
        <family val="0"/>
        <charset val="1"/>
      </rPr>
      <t xml:space="preserve">, proposamen bat </t>
    </r>
    <r>
      <rPr>
        <strike val="true"/>
        <sz val="9"/>
        <color rgb="FF000000"/>
        <rFont val="Arial"/>
        <family val="0"/>
        <charset val="1"/>
      </rPr>
      <t xml:space="preserve">aurkeztu</t>
    </r>
    <r>
      <rPr>
        <sz val="9"/>
        <color rgb="FF000000"/>
        <rFont val="Arial"/>
        <family val="0"/>
        <charset val="1"/>
      </rPr>
      <t xml:space="preserve"> du, eta espero du EH Bildurekin eta PSE-EEren artean akordio bat lortzea. Halere, EAJk autogobernuari dagokionez bide zehatz eta koherentea hartu du, eta koalizio subiranistaren </t>
    </r>
    <r>
      <rPr>
        <strike val="true"/>
        <sz val="9"/>
        <color rgb="FF000000"/>
        <rFont val="Arial"/>
        <family val="0"/>
        <charset val="1"/>
      </rPr>
      <t xml:space="preserve">kontrako postua mantendu du.
</t>
    </r>
    <r>
      <rPr>
        <sz val="9"/>
        <color rgb="FF000000"/>
        <rFont val="Arial"/>
        <family val="0"/>
        <charset val="1"/>
      </rPr>
      <t xml:space="preserve">
Ote</t>
    </r>
    <r>
      <rPr>
        <sz val="9"/>
        <color rgb="FFFF0000"/>
        <rFont val="Arial"/>
        <family val="0"/>
        <charset val="1"/>
      </rPr>
      <t xml:space="preserve">gi, EH Bilduko koordinatzailea,</t>
    </r>
    <r>
      <rPr>
        <sz val="9"/>
        <color rgb="FF000000"/>
        <rFont val="Arial"/>
        <family val="0"/>
        <charset val="1"/>
      </rPr>
      <t xml:space="preserve"> adierazi du jendearen nahia</t>
    </r>
    <r>
      <rPr>
        <sz val="9"/>
        <color rgb="FFFF0000"/>
        <rFont val="Arial"/>
        <family val="0"/>
        <charset val="1"/>
      </rPr>
      <t xml:space="preserve"> errespetatzea eta</t>
    </r>
    <r>
      <rPr>
        <sz val="9"/>
        <color rgb="FF000000"/>
        <rFont val="Arial"/>
        <family val="0"/>
        <charset val="1"/>
      </rPr>
      <t xml:space="preserve"> akordio bat posiblea izatea. PSE-EEren</t>
    </r>
    <r>
      <rPr>
        <strike val="true"/>
        <sz val="9"/>
        <color rgb="FF000000"/>
        <rFont val="Arial"/>
        <family val="0"/>
        <charset val="1"/>
      </rPr>
      <t xml:space="preserve"> parlamentari gehienak ez dira Legebiltzarrean ezagunagoak</t>
    </r>
    <r>
      <rPr>
        <sz val="9"/>
        <color rgb="FF000000"/>
        <rFont val="Arial"/>
        <family val="0"/>
        <charset val="1"/>
      </rPr>
      <t xml:space="preserve">, eta </t>
    </r>
    <r>
      <rPr>
        <sz val="9"/>
        <color rgb="FFFF0000"/>
        <rFont val="Arial"/>
        <family val="0"/>
        <charset val="1"/>
      </rPr>
      <t xml:space="preserve">Otegi sozialistekin ulertzeko beharra eskatzen dio</t>
    </r>
    <r>
      <rPr>
        <sz val="9"/>
        <color rgb="FF000000"/>
        <rFont val="Arial"/>
        <family val="0"/>
        <charset val="1"/>
      </rPr>
      <t xml:space="preserve">. EH Bilduk, horrez gain, eboluzio struktural bat biltzen du, eta koalizio abertzaleak agintean </t>
    </r>
    <r>
      <rPr>
        <sz val="9"/>
        <color rgb="FFFF0000"/>
        <rFont val="Arial"/>
        <family val="0"/>
        <charset val="1"/>
      </rPr>
      <t xml:space="preserve">egotean dagoela</t>
    </r>
    <r>
      <rPr>
        <sz val="9"/>
        <color rgb="FF000000"/>
        <rFont val="Arial"/>
        <family val="0"/>
        <charset val="1"/>
      </rPr>
      <t xml:space="preserve"> uste du.
Suma</t>
    </r>
    <r>
      <rPr>
        <sz val="9"/>
        <color rgb="FFFF0000"/>
        <rFont val="Arial"/>
        <family val="0"/>
        <charset val="1"/>
      </rPr>
      <t xml:space="preserve">r, alderdi bat, </t>
    </r>
    <r>
      <rPr>
        <sz val="9"/>
        <color rgb="FF000000"/>
        <rFont val="Arial"/>
        <family val="0"/>
        <charset val="1"/>
      </rPr>
      <t xml:space="preserve">estatutu berri bat defendatzen du, eskubide sozialak eta herritarren aniztasuna kohesionatzen dituen proiektu bat planteatzen du. Horrez gain, botere publikoen jarduteko gaitasunak indartzea eta eskubide subjektibo gehienak gauzatzea proposatzen diote.
</t>
    </r>
    <r>
      <rPr>
        <strike val="true"/>
        <sz val="9"/>
        <color rgb="FF000000"/>
        <rFont val="Arial"/>
        <family val="0"/>
        <charset val="1"/>
      </rPr>
      <t xml:space="preserve">Euskadiko politikoek</t>
    </r>
    <r>
      <rPr>
        <sz val="9"/>
        <color rgb="FF000000"/>
        <rFont val="Arial"/>
        <family val="0"/>
        <charset val="1"/>
      </rPr>
      <t xml:space="preserve">, hain zuzen ere, estatutu berriari bultzada emateko asmoa dute, eta horretarako baldintzak jarri behar dira. EAJk, EH Bildurekin eta PSE-EEren artean akordio bat lortzeko asmoa adierazi du, baina erabakiak adostasunean oinarritu behar direla uste dute.
Hurrengo hilabeteetan, Euskadiko politikoak, estatutu berriari bultzada emateko, negoziazio eta akordioak egin behar </t>
    </r>
    <r>
      <rPr>
        <sz val="9"/>
        <color rgb="FFFF0000"/>
        <rFont val="Arial"/>
        <family val="0"/>
        <charset val="1"/>
      </rPr>
      <t xml:space="preserve">dute</t>
    </r>
    <r>
      <rPr>
        <sz val="9"/>
        <color rgb="FF000000"/>
        <rFont val="Arial"/>
        <family val="0"/>
        <charset val="1"/>
      </rPr>
      <t xml:space="preserve">. EAJk, EH Bilduren eta PSE-EEren arteko harremanak, estatutu berriaren lortzean, </t>
    </r>
    <r>
      <rPr>
        <sz val="9"/>
        <color rgb="FFFF0000"/>
        <rFont val="Arial"/>
        <family val="0"/>
        <charset val="1"/>
      </rPr>
      <t xml:space="preserve">garrantzitsua izango dute</t>
    </r>
    <r>
      <rPr>
        <sz val="9"/>
        <color rgb="FF000000"/>
        <rFont val="Arial"/>
        <family val="0"/>
        <charset val="1"/>
      </rPr>
      <t xml:space="preserve">.</t>
    </r>
  </si>
  <si>
    <r>
      <rPr>
        <sz val="9"/>
        <color rgb="FF000000"/>
        <rFont val="Arial"/>
        <family val="0"/>
        <charset val="1"/>
      </rPr>
      <t xml:space="preserve">Hurrengo testuaren edukirik garrantzitsuena:
"Euskadiko estatus berriari bultzada eman nahi dio EAJk datorren legegintzaldian. Hala aurreratu du Andoni Ortuzar EBBko lehendakariak, eta zehaztu urte eta erdian proposamen bat onduko dutela, eta sinetsita daudela bat etorriko direla EH Bildurekin eta PSE-EErekin."
Laburtu testua:
"EAJk, EH Bildurekin eta PSE-EEren arteko akordioa lortu nahi du, eta horretarako urte eta erdian proposamen bat </t>
    </r>
    <r>
      <rPr>
        <strike val="true"/>
        <sz val="9"/>
        <color rgb="FF000000"/>
        <rFont val="Arial"/>
        <family val="0"/>
        <charset val="1"/>
      </rPr>
      <t xml:space="preserve">aurkeztu du.</t>
    </r>
    <r>
      <rPr>
        <sz val="9"/>
        <color rgb="FF000000"/>
        <rFont val="Arial"/>
        <family val="0"/>
        <charset val="1"/>
      </rPr>
      <t xml:space="preserve"> Ortuzarrek baieztatu du Pedro Sanchez-</t>
    </r>
    <r>
      <rPr>
        <sz val="9"/>
        <color rgb="FFFF0000"/>
        <rFont val="Arial"/>
        <family val="0"/>
        <charset val="1"/>
      </rPr>
      <t xml:space="preserve">ekin</t>
    </r>
    <r>
      <rPr>
        <sz val="9"/>
        <color rgb="FF000000"/>
        <rFont val="Arial"/>
        <family val="0"/>
        <charset val="1"/>
      </rPr>
      <t xml:space="preserve"> Gernikako Estatutuaren aplikazioari buruz akordio bat egin dugula, eta hori EAJk legegintzaldi honetan emango dituen pauso garrantzitsua izan </t>
    </r>
    <r>
      <rPr>
        <sz val="9"/>
        <color rgb="FFFF0000"/>
        <rFont val="Arial"/>
        <family val="0"/>
        <charset val="1"/>
      </rPr>
      <t xml:space="preserve">dezakeela</t>
    </r>
    <r>
      <rPr>
        <sz val="9"/>
        <color rgb="FF000000"/>
        <rFont val="Arial"/>
        <family val="0"/>
        <charset val="1"/>
      </rPr>
      <t xml:space="preserve">."</t>
    </r>
  </si>
  <si>
    <r>
      <rPr>
        <sz val="9"/>
        <color rgb="FF000000"/>
        <rFont val="Arial"/>
        <family val="0"/>
        <charset val="1"/>
      </rPr>
      <t xml:space="preserve">Zer?
EAJk (Eusko Alderdi Jeltzalea) Euskadiko estatus berriari bultzada eman nahi </t>
    </r>
    <r>
      <rPr>
        <sz val="9"/>
        <color rgb="FFFF0000"/>
        <rFont val="Arial"/>
        <family val="0"/>
        <charset val="1"/>
      </rPr>
      <t xml:space="preserve">du</t>
    </r>
    <r>
      <rPr>
        <sz val="9"/>
        <color rgb="FF000000"/>
        <rFont val="Arial"/>
        <family val="0"/>
        <charset val="1"/>
      </rPr>
      <t xml:space="preserve">.
Nork?
Andoni Ortuzar, EBBko lehendakariak, EAJk osatzen dutenek, EH Bilduren eta PSE-EEren adierazpenak egin dira. Arnaldo Otegi, EH Bilduko koordinatzaile nagusiak, adierazpen batzuk egin ditu Radio Euskadin.
Noiz?
Datorren legegintzaldian, urte eta erdian, EAJk proposamen bat onduko du.
Non?
Onda Vasca irratian, eta Radio Euskadin adierazpenak egin dira.
Zergatik?
EAJk autogobernuari dagokionez bide orri zehatza eta koherentea hartu du, eta EH Bilduren eta PSE-EEren artean akordioak lortzeko aukera handia daude. Pedro Sanchez Espainiako Gobernuko presidentearekin Gernikako Estatutuaren aplikazioari buruz akordio bat egin da, eta</t>
    </r>
    <r>
      <rPr>
        <sz val="9"/>
        <color rgb="FFFF0000"/>
        <rFont val="Arial"/>
        <family val="0"/>
        <charset val="1"/>
      </rPr>
      <t xml:space="preserve"> EAJk horren ondorioz baldintzak baditu,</t>
    </r>
    <r>
      <rPr>
        <sz val="9"/>
        <color rgb="FF000000"/>
        <rFont val="Arial"/>
        <family val="0"/>
        <charset val="1"/>
      </rPr>
      <t xml:space="preserve"> estatus politiko berri baterantz aurrera egin ahal da.
Nola?
EAJk, EH Bilduren eta PSE-EEren artean</t>
    </r>
    <r>
      <rPr>
        <strike val="true"/>
        <sz val="9"/>
        <color rgb="FF000000"/>
        <rFont val="Arial"/>
        <family val="0"/>
        <charset val="1"/>
      </rPr>
      <t xml:space="preserve"> negoziazioak hasi ahal izateko</t>
    </r>
    <r>
      <rPr>
        <sz val="9"/>
        <color rgb="FF000000"/>
        <rFont val="Arial"/>
        <family val="0"/>
        <charset val="1"/>
      </rPr>
      <t xml:space="preserve">, EH Bilduko koordinatzaile nagusiak, Arnaldo Otegi, adierazpenak egin ditu, eta EAJk osatzen dutenek ere adierazpenak egin dute. Sumarrek ere adierazpenak egin ditu, eta estatutu berri baten aldeko argudioak eskaini ditu. </t>
    </r>
    <r>
      <rPr>
        <strike val="true"/>
        <sz val="9"/>
        <color rgb="FFFF0000"/>
        <rFont val="Arial"/>
        <family val="0"/>
        <charset val="1"/>
      </rPr>
      <t xml:space="preserve">Horrez gain, negoziazioak hasi eta aurrera egin ahal izateko, EAJk osatzen dutenek eta Arnaldo Otegi espero dute PSE-EErekin eta EH Bildurekin akordioak lortzea</t>
    </r>
    <r>
      <rPr>
        <sz val="9"/>
        <color rgb="FF000000"/>
        <rFont val="Arial"/>
        <family val="0"/>
        <charset val="1"/>
      </rPr>
      <t xml:space="preserve">.</t>
    </r>
  </si>
  <si>
    <t xml:space="preserve">Euskadi's main political parties, EAJ-PNV, EH Bildu, and PSE-EE, are in talks to reach an agreement on a new political status for the region. EAJ-PNV's president, Andoni Ortuzar, has expressed his willingness to take a step forward in the upcoming legislative session, aiming for an agreement by the middle of the year. He believes that the conditions are right, especially with the recent agreement with the Spanish government on the application of the Gernika Statute. 
Ortuzar has emphasized that EAJ-PNV is not giving in to radicalism and is taking a coherent and moderate approach to autonomy. He is optimistic about the negotiations with the Socialists (PSE-EE) and expects them to begin on Monday, hoping to finalize an agreement by the second or third week of June. 
EH Bildu's coordinator, Arnaldo Otegi, has also made statements, saying that an agreement is possible if the will of the people is respected. He questions whether the Socialists' 12 parliamentarians will limit the ambitions of the 54 members of the Basque Parliament. Otegi believes that the Socialists need to understand that over 70% of the population in Álava, Biscay, and Gipuzkoa have voted for pro-independence parties, and that an agreement should reflect this reality. 
Otegi further emphasizes that EH Bildu is in a new cycle and has undergone a structural evolution. He states that the coalition's goal is to advance, but no one can do it alone in Álava, Biscay, and Gipuzkoa. He calls on the Socialists to take an ethical step and reach an agreement, and suggests that EH Bildu may be willing to give up one of their two seats at the Mahaia table. 
Meanwhile, the Sumar coalition has announced its defense of a new statute for Álava, Biscay, and Gipuzkoa, one that strengthens social rights, recognizes the "national character" of the region, and promotes the cohesion of its diverse population. The coalition believes that this new statute should prioritize social rights, gender equality, human rights, anti-racism, and the rights of the LGTBI+ community, as well as democratic memory. 
To achieve these goals, Sumar proposes strengthening the capacity of public powers, ensuring free access to the study of the Basque language, and guaranteeing rights such as housing, health, education, care, food security, and more. The coalition aims to design a national project for Euskadi that recognizes its national character and promotes the cohesion of its diverse population within a framework of equal coexistence and inclusivity. 
In summary, the political parties in Euskadi are engaged in negotiations to reach an agreement on a new political status, with the aim of strengthening autonomy, social rights, and national recognition, while promoting cohesion and inclusivity.</t>
  </si>
  <si>
    <r>
      <rPr>
        <sz val="9"/>
        <color rgb="FF999999"/>
        <rFont val="Arial"/>
        <family val="0"/>
        <charset val="1"/>
      </rPr>
      <t xml:space="preserve">**Laburtutako testua:**
</t>
    </r>
    <r>
      <rPr>
        <sz val="9"/>
        <color theme="1"/>
        <rFont val="Arial"/>
        <family val="0"/>
        <charset val="1"/>
      </rPr>
      <t xml:space="preserve">
Unai Lasok poz handiz heldu dio buruz buruko txapelketari ia urtebetez min hartuta egon ondoren. Duela bi aste Joanes Bakaikoa garaitu zuen, eta bereziki hunkigarria izan zen etxean berriro jokatzea. Lasok aitortu du beldurra ez baina errespetua bazuela lehen neurketan; hala ere, pilota gozatzen eta defentsan ondo aritu zela dio, nahiz eta sakean hobetu behar duela nabarmendu.
Bere hitzetan, eskuinarekin gozatzeko gaitasuna hobetu du azkenaldian, nahiz eta frontoian bizkorrago mugitu behar duen. Jokalari gisa oraindik barruan duen guztia ez duela atera azpimarratu du, baina baikorra da etorkizunari begira. Txapelketa honetan helburu nagusia minik gabe jarraitzea eta partidaz partida hobetzea da.
Ligaxkan, lehen aurkaria Jokin Altuna izango du. Badaki oso partida gogorra izango dela, baina entrenamenduan egindako lanak konfiantza ematen dio. Irabazteko, bete-betean jokatu beharko duela uste du. Bilbon jokatuko dute, eta bertan oroitzapen onak ditu, nahiz eta iaz Altunaren aurka porrot egin zuen. Lasok gozatu eta gogor lehiatu nahi du txapelketan.</t>
    </r>
  </si>
  <si>
    <r>
      <rPr>
        <sz val="9"/>
        <color rgb="FFB7B7B7"/>
        <rFont val="Arial"/>
        <family val="0"/>
        <charset val="1"/>
      </rPr>
      <t xml:space="preserve">**Laburpena:**  
</t>
    </r>
    <r>
      <rPr>
        <sz val="9"/>
        <color theme="1"/>
        <rFont val="Arial"/>
        <family val="0"/>
        <charset val="1"/>
      </rPr>
      <t xml:space="preserve">Unai Laso ia urtebeteko etenaren ondoren buruz buruko pilota txapelketara itzuli da, lesio baten ondorioz entrenatzeko eta jokatzeko zailtasunak izan dituen arren. Bizkarreta-Gerendiaingoak ilusioz eta motibazioz hartu du txapelketa berria, eta </t>
    </r>
    <r>
      <rPr>
        <strike val="true"/>
        <sz val="9"/>
        <color theme="1"/>
        <rFont val="Arial"/>
        <family val="0"/>
        <charset val="1"/>
      </rPr>
      <t xml:space="preserve">lehen partida</t>
    </r>
    <r>
      <rPr>
        <sz val="9"/>
        <color theme="1"/>
        <rFont val="Arial"/>
        <family val="0"/>
        <charset val="1"/>
      </rPr>
      <t xml:space="preserve"> Joanes Bakaikoaren aurka irabazi zuen (22-9). Bere buruarekin gustura dagoen arren, oraindik asko hobetzeko daukala uste du, batez ere sakean eta mugikortasunean. Hala ere, eskuinarekin jokatzeko konfiantza eta entrenamenduetan mina gutxitzea bere lorpen nagusitzat jotzen ditu. Hurrengo erronka Jokin Altuna izango du aurrean, eta haren aurkako partida gogorra espero du, baina prest sentitzen da. Helburu nagusiak minik ez hartzea, gozatu eta irabazteko borroka egitea dira.</t>
    </r>
  </si>
  <si>
    <r>
      <rPr>
        <sz val="9"/>
        <color theme="1"/>
        <rFont val="Arial"/>
        <family val="0"/>
        <charset val="1"/>
      </rPr>
      <t xml:space="preserve">**5W1H metodoaren arabera testuaren analisia:**
### **1. Zer?**
Unai Lasoren buruz buruko pilota partidak eta bere itzulera pilotara lesio baten ostean. Labriten 22-9 irabazi zion Joanes Bakaikoari buruz buruko final-zortzirenetako partida batean.
### **2. Nork?**
- **Protagonista nagusia:** Unai Laso.
- **Aurrekaria:** Joanes Bakaikoa.
- **Publikoa:** Senideak, lagunak eta zaleak.
### **3. Noiz?**
- Duela bi aste jokatu zuen Joanes Bakaikoaren aurkako partida.
- Lesio larri baten ostean ia </t>
    </r>
    <r>
      <rPr>
        <strike val="true"/>
        <sz val="9"/>
        <color theme="1"/>
        <rFont val="Arial"/>
        <family val="0"/>
        <charset val="1"/>
      </rPr>
      <t xml:space="preserve">urtebetez</t>
    </r>
    <r>
      <rPr>
        <sz val="9"/>
        <color theme="1"/>
        <rFont val="Arial"/>
        <family val="0"/>
        <charset val="1"/>
      </rPr>
      <t xml:space="preserve"> jokatu gabe egon zen.
- Aurki, Jokin Altunaren aurka arituko da buruz burukoko ligaxkan.
### **4. Non?**
- Partida: Labrit pilotalekuan (Iruñean).
- Ligaxkako hurrengo partida: Bilbon.
### **5. Zergatik?**
- **Lesioaren ondorioz:** Berriro lehen mailako lehiaketara itzuli eta maila erakusteko.
- **Motibazio pertsonalagatik:** Bere maila hobetzeko eta </t>
    </r>
    <r>
      <rPr>
        <strike val="true"/>
        <sz val="9"/>
        <color theme="1"/>
        <rFont val="Arial"/>
        <family val="0"/>
        <charset val="1"/>
      </rPr>
      <t xml:space="preserve">pilotazaleek espero duten mailara heltzeko</t>
    </r>
    <r>
      <rPr>
        <sz val="9"/>
        <color theme="1"/>
        <rFont val="Arial"/>
        <family val="0"/>
        <charset val="1"/>
      </rPr>
      <t xml:space="preserve">.
### **6. Nola?**
- **Emaitzak:** Joanesen aurka 22-9 irabazita.
- **Prestaketa:** Fisikoa eta mentala, teknika eta mugimendua landuz. Fisioterapiako tratamendua jaso du lesiotik erabat sendatzeko.
- **Jokatzeko moduari buruz:** Erasoan eta defentsan ausart, baina sakean hobetzeko beharra nabarmendu du.
- **Etorkizunari begira:** Ligaxkan aurkari gogorrak izango ditu, baina konfiantza handiarekin eta gogotsu dago.
### Laburpena:
Unai Laso itzuli da pilota profesionalera urtebetez lesio baten ondorioz jokatu gabe egon ostean. Bere itzulera Labriten ospatu zuen zaleek animatuta, eta Joanes Bakaikoari irabazi zion buruz buruko partidan. Itzulera ilusioz hartu badu ere, oraindik maila hobetzeko asko duela dio. Hurrengo erronka Jokin Altunaren aurka izango da, eta horretarako prestatzen ari da gogotsu. Bere helburu nagusia gozatzen jarraitzea eta osasuna mantentzea da.</t>
    </r>
  </si>
  <si>
    <r>
      <rPr>
        <sz val="9"/>
        <color theme="1"/>
        <rFont val="Arial"/>
        <family val="0"/>
        <charset val="1"/>
      </rPr>
      <t xml:space="preserve">Unai Laso pilotari nafarra pozik eta motibatuta dago ia urtebete eta lesio luze baten ondoren buruz buruko txapelketara itzuli ondoren. Duela bi aste, Labriten, Joanes Bakaikoa 22-9 menderatu zuen</t>
    </r>
    <r>
      <rPr>
        <strike val="true"/>
        <sz val="9"/>
        <color theme="1"/>
        <rFont val="Arial"/>
        <family val="0"/>
        <charset val="1"/>
      </rPr>
      <t xml:space="preserve"> itzulerako partidan</t>
    </r>
    <r>
      <rPr>
        <sz val="9"/>
        <color theme="1"/>
        <rFont val="Arial"/>
        <family val="0"/>
        <charset val="1"/>
      </rPr>
      <t xml:space="preserve">, eta sentipen onak izan zituen, nahiz eta oraindik hobetu beharra ikusten duen. 
Laso aitortu du eskuinarekin gozatzeko gaitasuna berreskuratu duela gehien, baina oraindik frontoian azkarrago mugitu behar duela. Bere helburua minik gabe aritzea eta partidaz partida gozatzea da, ligaxkan aurkari gogorrak izango dituela jakitun. Jokatu behar duen hurrengo partida Jokin Altunaren aurka izango da, eta prest eta konfiantzaz beterik dago horri aurre egiteko. Irabazteko gakoa ausardia eta saketik abantaila lortzea izango dela azpimarratu du.</t>
    </r>
  </si>
  <si>
    <t xml:space="preserve">**Kutxabankek jasangarritasunerako finantzaketa nabarmena egin zuen 2023an**
Kutxabankek 2.116 milioi euro bideratu zituen iaz, jasangarritasunerako bere irizpideak betetzen dituzten proiektuak finantzatzeko. Kopuru horrek bankuaren konpromisoa islatzen du ingurumenarekin eta gizartearekin arduratsua den jardueraren alde.
### **Enpresentzako finantzaketa, nagusi**
Zenbateko osoaren zati handiena, 1.369 milioi euro, enpresek jasotako maileguetan gauzatu zen. Mailegu horiek, besteak beste, energia berriztagarriak ekoizteko eta instalatzeko proiektuetara, mugikortasun jasangarrira, eta energetikoki eraginkorrak diren etxebizitzen sustapenera bideratu dira.
### **Hipoteka Berdea, hazkundean**
Partikularrentzat, Kutxabankek **Hipoteka Berdea** eskaintzen du, energia ziurtagiririk altuena duten etxebizitzak finantzatzeko baldintza bereziak dituen mailegu bat. 2023an, bezero partikularrei produktu honen bidez 721 milioi euro eman zitzaizkien, aurreko urtean baino %6,7 gehiago. Finantzaketa honek, bankuaren hipoteketan eman zuen zenbatekoaren %22 ordezkatu zuen iaz.
### **Kontsumorako kreditu jasangarriak**
Kutxabankek kontsumorako kredituen esparruan ere jasangarritasun irizpideak ezarri ditu. Horien bidez, 2023an 25 milioi euroko maileguak eman ziren, aurreko urteko kopuru bikoitza. Finantzaketa hau, nagusiki, auto elektrikoak eta hibridoak erostera bideratu zen.
Kutxabanken ekimen hauek erakusten dute bankuak gero eta presentzia handiagoa duela jasangarritasuna sustatzen duten finantza-produktuetan, ingurumenarekiko eta gizartearekiko ardura lehenetsiz.</t>
  </si>
  <si>
    <r>
      <rPr>
        <sz val="9"/>
        <color theme="1"/>
        <rFont val="Arial"/>
        <family val="0"/>
        <charset val="1"/>
      </rPr>
      <t xml:space="preserve">Kutxabankek </t>
    </r>
    <r>
      <rPr>
        <strike val="true"/>
        <sz val="9"/>
        <color theme="1"/>
        <rFont val="Arial"/>
        <family val="0"/>
        <charset val="1"/>
      </rPr>
      <t xml:space="preserve">2022an</t>
    </r>
    <r>
      <rPr>
        <sz val="9"/>
        <color theme="1"/>
        <rFont val="Arial"/>
        <family val="0"/>
        <charset val="1"/>
      </rPr>
      <t xml:space="preserve"> 2.116 milioi euro bideratu zituen jasangarritasun-irizpideak betetzen dituzten proiektuak finantzatzeko. Zati handiena (1.369 milioi euro) enpresentzako izan zen, energia berriztagarrien, mugikortasun jasangarriaren eta etxebizitza eraginkorren sustapenerako. Bezero partikularrei zuzendutako Hipoteka Berdea maileguaren bidez, energia-ziurtagiri onena duten etxebizitzak erosteko 721 milioi euro eman ziren, aurreko urtean baino %6,7 gehiago. Gainera, kontsumorako kreditu jasangarrietan 25 milioi euro banatu ziren, nagusiki auto elektriko eta hibridoak erosteko.</t>
    </r>
  </si>
  <si>
    <t xml:space="preserve">Hona hemen testuaren laburpena **5W1H metodoa** erabiliz:
### **Zer?**  
Kutxabankek 2.116 milioi euro bideratu zituen jasangarritasun-irizpideak betetzen dituzten proiektuak finantzatzeko.
### **Nork?**  
Kutxabank, banku-erakunde bat.
### **Noiz?**  
2023. urtean.
### **Non?**  
Espainian (baina testuak ez du espazio zehatza aipatzen, Kutxabanken jarduerak oro har hartuz).
### **Zergatik?**  
Jasangarritasun-irizpideak betetzen dituzten proiektuak sustatu eta finantzatzeko, hala nola:  
- Energia berriztagarriak sortzeko eta instalatzeko.
- Mugikortasun jasangarriko jarduerak bultzatzeko.  
- Etxebizitza energetikoki eraginkorrak sustatzeko.  
- Auto elektriko eta hibridoak erosteko.
### **Nola?**  
- **Enpresak:** 1.369 milioi euroko maileguak jaso dituzte proiektuetarako.  
- **Partikularrak:** Hipoteka Berdearen bidez, energia ziurtagiririk onena duten etxebizitzak finantzatzeko 721 milioi euro eman dira (%6,7ko igoera aurreko urtearekiko).  
- **Kontsumorako kredituak:** 25 milioi euro bideratu dira, batez ere auto elektriko eta hibridoen erosketarako.</t>
  </si>
  <si>
    <t xml:space="preserve">Kutxabankek 2.116 milioi euro bideratu zituen 2023an bere jasangarritasun-irizpideak betetzen dituzten proiektuak finantzatzeko. Horien artean, 1.369 milioi euro enpresentzako maileguak izan ziren (energia berriztagarriak, mugikortasun jasangarria eta etxebizitza eraginkorrak). Hipoteka Berdearen bidez, 721 milioi euro utzi zizkien energia ziurtagiri onena duten etxebizitzak erosten dituzten partikularrei (%6,7 gehiago). Kontsumorako kredituetan, 25 milioi euroko maileguak eman ziren, batez ere auto elektrikoak eta hibridoak erosteko.</t>
  </si>
  <si>
    <t xml:space="preserve">**Euskal Gastronomiaren Topaketa: Lainopean bildutako etorkizuna**  
Zeru lainotuaren babesean eta paisaia berde baten erdian bildu dira Euskal Herriko gastronomiaren protagonistak: sukaldaritzako profesionalak eta ekoizleak. Ekitaldiari hasiera emateko, Arrea jatetxeko Edorta Lamok hartu du hitza, suhartasun eta indarrez betetako diskurtso batekin. Bertaratu diren 250 profesionalen txalo artean, euskal gastronomiaren bihotza taupadaka jarri da, etorkizunari begira egindako egun baten hastapena markatuz.  
**Euskal gastronomiaren epizentroa Arkautin**  
Mantalak elkarteak antolatuta, Arkautiko Nekazaritzako Elikagaien campusean egin da Euskal Gastronomiaren Topaketaren hirugarren edizioa. Egunak helburu argi bat izan du: Euskal Herriko gastronomia komunitatea elkartzea eta, aldi berean, sektorearen etorkizunari buruz hausnarketa egitea. Jardunaldia mahai-inguru, tailer eta kultur emanaldi ugarirekin bete dute, eta Arabako zein euskal gastronomiaren altxorrak aldarrikatu dituzte.  
**Gogoetarako gune bat, gastronomia eta elkarrekintza protagonista**  
Egunari gosari goxo batekin ekin diote parte-hartzaileek. Jarraian, gastronomiari eta haren garapenari buruzko hitzaldiek hartu dute protagonismoa. Euskadiko paisaia gastronomikoaren inguruko solasaldian, hainbat izen ezagunek hartu dute parte: Aitor Arregi (Elkano), Maider Martinez (DOP Idiazabal), Anna Montserrat (Mendialdeko Ogia) eta Alatz Bilbao (Bakea). Elkarren beharra azpimarratu dute guztiek, ekoizleek eta sukaldariek harreman estu eta gertukoa izatearen garrantzia nabarmenduz.  
«Whatsappez egiten dut nire bezeroekin hitz», azaldu du Martinez artzainak. Montserratek ere harreman zuzena du bere ogiaren bezeroekin. Baterako lankidetzak bermatzen du jatetxeetan eskaintzen den kalitate gorena, eta hori sukaldariek aitortu dute. Alatz Bilbaok, barrez, inguruko ekoizle gehiago ezagutzeko gogoa azaldu du, eta Aitor Arregik, arrantzarekin duen esperientzia handia kontuan hartuta, arrantzaleekin duen harremanaren garrantzia azpimarratu du.  
**Gastronomia azoka eta sormen gastronomikoa**  
Hitzaldien ondoren, gastronomia azokaren txanda izan da. Bertan, Gastro Gaztea komunitateko sukaldari gazteek pintxo berritzaileak prestatu dituzte, hala nola amuarrainaren eta marrubiaren konbinazioak. Euskal Ogien ogiak, Euskal Gozogileen produktuak eta beste hainbat ekoizleren altxorrak erakusgai izan dira. Publikoak gustura dastatu ditu eskaintzak: «Ze ona!», poztu da pintxo bat probatu ondoren emakume bat.  
**Tradizioa eta etorkizuna bat eginda**  
Ekitaldiaren amaiera Roberto Ruiz sukaldariaren hitzek borobildu dute. Hika txakolindegiko sukaldaria izan da bazkariaren koordinatzailea, eta egunaren balorazio positiboa egin du: «Topaketa hau erreferentzia bihurtu da; tradizioa eta modernitatea uztartuz, gure sukaldaritzaren etorkizuna eraikitzeko espazio bat sortzen dugu».  
Arkautin bildutako 250 gonbidatuek euskal gastronomia ospatu eta zaporez beteriko etorkizun bat irudikatu dute. Aurrerantzean, ikusiko da topaketatik eratorritako aurreikuspenak betetzen diren; baina argi dagoena da gaurko elkarrekintzek sektorearen bidea argitzeko balio izan dutela.</t>
  </si>
  <si>
    <r>
      <rPr>
        <sz val="9"/>
        <color rgb="FF999999"/>
        <rFont val="Arial"/>
        <family val="0"/>
        <charset val="1"/>
      </rPr>
      <t xml:space="preserve">Edukirik garrantzitsuena laburtuz: 
</t>
    </r>
    <r>
      <rPr>
        <sz val="9"/>
        <color theme="1"/>
        <rFont val="Arial"/>
        <family val="0"/>
        <charset val="1"/>
      </rPr>
      <t xml:space="preserve">
Arkautin (Araba) Euskal Gastronomiaren Topaketaren hirugarren aldia ospatu dute, euskal gastronomia sektoreko 250 profesional baino gehiago bilduz. Egunak helburu bikoitza izan du: sektoreko eragileen arteko lankidetza sustatzea eta gastronomiaren etorkizunari buruz hausnartzea. Ekitaldian hitzaldiak, tailerrak, mahai-inguruak eta azokak egin dira, tokiko produktuak eta talentua nabarmentzeko. Ekoizleek eta sukaldariek elkarren beharra nabarmendu dute, eta topaketa tradizioa eta modernitatea uztartzeko espazio gisa goraipatu da. Zaporez eta sormenez betetako etorkizun bat irudikatu dute parte-hartzaileek.</t>
    </r>
  </si>
  <si>
    <r>
      <rPr>
        <sz val="9"/>
        <color rgb="FF999999"/>
        <rFont val="Arial"/>
        <family val="0"/>
        <charset val="1"/>
      </rPr>
      <t xml:space="preserve">**5W1H Analisia:**
</t>
    </r>
    <r>
      <rPr>
        <sz val="9"/>
        <color theme="1"/>
        <rFont val="Arial"/>
        <family val="0"/>
        <charset val="1"/>
      </rPr>
      <t xml:space="preserve">
1. **Zer (What):**  
   Euskal Gastronomiaren Topaketaren hirugarren aldia ospatu da. Gastronomia sektoreko profesionalak eta Euskal Herriko ekoizleak bildu dira eguna mahai-inguru, tailer eta kultur ekitaldiz betetzeko. Helburua euskal gastronomiaren altxorrak eta etorkizuna aztertzea izan da.
2. **Nork (Who):**  
   - Edorta Lamo (Arrea jatetxekoa).  
   - Aitor Arregi (Elkano), Maider Martinez (DOP Idiazabal), Anna Montserrate (Mendialdeko Ogia), eta Alatz Bilbao (Bakea).  
   - Roberto Ruiz (ekitaldiaren koordinatzailea eta Hika txakolindegiko sukaldaria).  
   - 250 profesional eta Euskal Herriko ekoizleak.  
3. **Noiz (When):**  
   Euskal Gastronomiaren Topaketaren hirugarren edizioa egun oso batean zehar ospatu da (data konkretua ez dago testuan).  
4. **Non (Where):**  
   Arkauti (Araba), Nekazaritzako Elikagaien campusean.  
5. **Zergatik (Why):**  
   - Gastronomia sektoreko ekoizle eta profesionalen arteko elkarlana indartzea.  
   - Etorkizuneko erronkak aztertzea eta talentua sustatzea.  
   - Euskal gastronomiaren tradizioa eta berrikuntza ospatzea.  
6. **Nola (How):**  
   Ekitaldiak gosari batekin hasi dira, jarraian hitzaldiak, mahai-inguruak, gastronomia azoka eta pintxo berritzaileen dastaketa egin dira. Parte-hartzaileek beren esperientziak eta ikuspegiak partekatu dituzte. Ekitaldiaren antolaketan Roberto Ruizek bazkaria koordinatu du, eta giroan elkarlana eta sormena nagusitu dira.  </t>
    </r>
  </si>
  <si>
    <r>
      <rPr>
        <sz val="9"/>
        <color theme="1"/>
        <rFont val="Arial"/>
        <family val="0"/>
        <charset val="1"/>
      </rPr>
      <t xml:space="preserve">Euskal Gastronomiaren Topaketaren hirugarren edizioa ospatu dute Arkautin (Araba), sektoreko 250 profesional baino gehiago bilduz. Edorta Lamoren hitzek ekitaldiaren hasiera markatu dute, euskal gastronomiaren balioa azpimarratuz. Jardunaldiak gosari batekin hasi dira, eta hitzaldi eta tailerrez osatutako programa zabal batek jarraipena eman dio, non ekoizleek eta sukaldariek elkarlana eta etorkizuneko erronkak azpimarratu dituzten. Gastronomia azokak eta Gastro Gaztea komunitateko sukaldarien pintxo berritzaileek ere protagonismoa izan dute. Roberto Ruiz koordinatzaileak </t>
    </r>
    <r>
      <rPr>
        <sz val="9"/>
        <color rgb="FFFF0000"/>
        <rFont val="Arial"/>
        <family val="0"/>
        <charset val="1"/>
      </rPr>
      <t xml:space="preserve">tradizioaren eta modernitatearen bateratzea</t>
    </r>
    <r>
      <rPr>
        <sz val="9"/>
        <color theme="1"/>
        <rFont val="Arial"/>
        <family val="0"/>
        <charset val="1"/>
      </rPr>
      <t xml:space="preserve"> nabarmendu du, sektorearen etorkizuna eraikitzeko garrantzia azpimarratuz.</t>
    </r>
  </si>
  <si>
    <r>
      <rPr>
        <sz val="9"/>
        <color rgb="FFB7B7B7"/>
        <rFont val="Arial"/>
        <family val="0"/>
        <charset val="1"/>
      </rPr>
      <t xml:space="preserve">**Laburpena: OCHAren 2024ko iragarpena eta erronkak**  
</t>
    </r>
    <r>
      <rPr>
        <sz val="9"/>
        <color rgb="FF000000"/>
        <rFont val="Arial"/>
        <family val="0"/>
        <charset val="1"/>
      </rPr>
      <t xml:space="preserve">
NBEren Gai Humanitarioak Koordinatzeko Bulegoak (OCHA) 2024a alor humanitarioan "urte beltza" izango dela aurreikusi du. Laguntza humanitarioaren beharra handitzen ari da gatazkak, klima larrialdia eta egoera ekonomikoaren okertzea direla eta. Hala ere, baliabideak gero eta urriagoak dira. Horregatik, Martin Griffiths NBEko Giza Gaietarako idazkariorde nagusiak 43.000 milioi euro eskatu dizkio nazioarteari, funtsezko laguntza bermatzeko. 
Hurrengo urtean, 299,4 milioi pertsonak laguntza beharko dute, batez ere Palestinan, Sirian, Ukrainan eta Sudanen. Finantzaketa krisiak ondorio larriak ditu, aurten eskaturiko funtsen %33 baino ez delako jaso. Ondorioz, 2023an laguntza humanitarioa gutxitu egin da lehen aldiz 2010etik, eta behar dutenen %62ri baino ez zaio laguntza eskaini, iazko %79aren aldean.  
Herrialde kaltetuenetan, hala nola Afganistanen, Etiopian, Yemenen edo Kongoko Errepublika Demokratikoan, baliabideen urritasunak elikadura, aterpe eta ur garbiaren gabezia areagotu du. Ondorioz, milaka pertsona baldintza larrietan bizi dira, eta gaixotasunen arriskua handitu da.  
Hala ere, txostenak zenbait aurrerapen ere nabarmendu ditu. Kenya, Pakistan eta Malawi egoera hobetu dutenen artean daude, eta Somalian eta Yemenen ere larrialdiak zertxobait arindu dira. Hala eta guztiz ere, baliabideak mobilizatzea funtsezkoa da milioika pertsonen bizitzak salbatzeko.</t>
    </r>
  </si>
  <si>
    <r>
      <rPr>
        <sz val="9"/>
        <color rgb="FF999999"/>
        <rFont val="Arial"/>
        <family val="0"/>
        <charset val="1"/>
      </rPr>
      <t xml:space="preserve">**Testuaren laburpena:**
</t>
    </r>
    <r>
      <rPr>
        <sz val="9"/>
        <color rgb="FF000000"/>
        <rFont val="Arial"/>
        <family val="0"/>
        <charset val="1"/>
      </rPr>
      <t xml:space="preserve">
OCHAren arabera, 2024 urtea "beltza" izango da alor humanitarioan. Krisien kopurua eta eskala handitzen ari dira, eta gatazkak, klima larrialdia eta egoera ekonomikoak laguntzarako beharra areagotzen ari dira. Nazio Batuek 43.000 milioi euroko finantzaketa eskatu dute </t>
    </r>
    <r>
      <rPr>
        <strike val="true"/>
        <sz val="9"/>
        <color rgb="FF000000"/>
        <rFont val="Arial"/>
        <family val="0"/>
        <charset val="1"/>
      </rPr>
      <t xml:space="preserve">180,5 milioi pertsonari</t>
    </r>
    <r>
      <rPr>
        <sz val="9"/>
        <color rgb="FF000000"/>
        <rFont val="Arial"/>
        <family val="0"/>
        <charset val="1"/>
      </rPr>
      <t xml:space="preserve"> laguntzeko, baina baliabideak eskasak dira, eta horrek eragin dezake jende askoren bizitza arriskuan jartzea. Aurtengoan, aurreikusitako pertsonen %62ri lagundu zaie, iazko %79ren aldean. Afganistan, Etiopia, Ukraina, Yemen eta Kongon arreta berezia jarri da, baina baliabideen faltak laguntza murriztea eragin du, elikagai, aterpe eta ur horniduran ondorio larriak sortuz. Hala ere, zenbait herrialdetan egoera hobetzen ari da, hala nola Kenyan, Pakistangoan eta Malawian.</t>
    </r>
  </si>
  <si>
    <r>
      <rPr>
        <sz val="9"/>
        <color rgb="FF000000"/>
        <rFont val="Arial"/>
        <family val="0"/>
        <charset val="1"/>
      </rPr>
      <t xml:space="preserve">### 5W1H Laburpena:
- **Zer:**  
  Nazio Batuen OCHA erakundeak </t>
    </r>
    <r>
      <rPr>
        <sz val="9"/>
        <color rgb="FFFF0000"/>
        <rFont val="Arial"/>
        <family val="0"/>
        <charset val="1"/>
      </rPr>
      <t xml:space="preserve">humanitario alorrean</t>
    </r>
    <r>
      <rPr>
        <sz val="9"/>
        <color rgb="FF000000"/>
        <rFont val="Arial"/>
        <family val="0"/>
        <charset val="1"/>
      </rPr>
      <t xml:space="preserve"> 2024rako aurreikuspen kezkagarriak aurkeztu ditu. 43.000 milioi euroko finantzaketa eskatu dute nazioarteko komunitateari, gatazka, klima larrialdi eta egoera ekonomiko txarrak direla eta. Finantziazio faltak laguntza humanitarioan murrizketak eragin ditu.
- **Nork:**  
  - OCHA (Nazio Batuen Gai Humanitarioen Koordinazio Bulegoa).  
  - Martin Griffiths, NBEko Giza Gaietarako idazkariorde nagusia eta Larrialdi Laguntzako koordinatzailea.
- **Noiz:**  
  2024ko aurreikuspenak aurkeztu dira, 2023ko abenduan. Aurten, 2010etik lehen aldiz, laguntza humanitarioaren eskala murriztu egin da.
- **Non:**  
  Laguntzarik handiena behar duten eremu nagusiak:  
  - Ekialde Hurbila (Palestina eta Siria), Ukraina, Sudan, Afganistan, Etiopia, Yemen eta Kongoko Errepublika Demokratikoa.  
  Laguntza gutxiago eskatu duten herrialdeak: Kenya, Pakistan eta Malawi.
- **Zergatik:**  
  - Gatazkak, klima aldaketaren ondorioak eta munduko egoera ekonomiko larria dira beharra sortzen duten faktore nagusiak.  
  - Finantziazio eskasia dela eta, ezin dira behar den moduan babestu gosete, aterpe eta ur garbiarekin lotutako premia larrienak.
- **Nola:**  
  - Finantziazio eskaera handiak eginez (43.000 milioi eurokoak).  
  - Behar handienak dituzten 72 herrialde eta 180,5 milioi pertsona identifikatuz.  
  - Finantzaketa lortu ezean, bizitza galtze masiboen arriskua nabarmenduz.</t>
    </r>
  </si>
  <si>
    <r>
      <rPr>
        <sz val="9"/>
        <color rgb="FF000000"/>
        <rFont val="Arial"/>
        <family val="0"/>
        <charset val="1"/>
      </rPr>
      <t xml:space="preserve">OCHAren arabera, 2024. urtea krisi humanitario larria ekarriko duen urte «beltza» izango da, gatazkak, klima larrialdia eta ekonomia zailtasunak direla eta. 299,4 milioi pertsonak laguntza humanitarioa beharko dute, baina finantzaketa eskasaren ondorioz, erantzuteko gaitasuna mugatua izango da. 46.000 milioi dolar eskatu dituzte behar handieneko 72 herrialdetan arreta jartzeko, baina zaila da helburua lortzea.
Aurten, laguntza behar zuten pertsonen %62ra baino ez </t>
    </r>
    <r>
      <rPr>
        <sz val="9"/>
        <color rgb="FFFF0000"/>
        <rFont val="Arial"/>
        <family val="0"/>
        <charset val="1"/>
      </rPr>
      <t xml:space="preserve">dira </t>
    </r>
    <r>
      <rPr>
        <sz val="9"/>
        <color rgb="FF000000"/>
        <rFont val="Arial"/>
        <family val="0"/>
        <charset val="1"/>
      </rPr>
      <t xml:space="preserve">iritsi (iaz %79ra iritsi </t>
    </r>
    <r>
      <rPr>
        <sz val="9"/>
        <color rgb="FFFF0000"/>
        <rFont val="Arial"/>
        <family val="0"/>
        <charset val="1"/>
      </rPr>
      <t xml:space="preserve">ziren</t>
    </r>
    <r>
      <rPr>
        <sz val="9"/>
        <color rgb="FF000000"/>
        <rFont val="Arial"/>
        <family val="0"/>
        <charset val="1"/>
      </rPr>
      <t xml:space="preserve">). Elikadura, aterpea eta osasun zerbitzuen gabeziak nabarmenak izan dira Afganistan, Etiopia, Ukraina, Yemen eta Kongon, besteak beste. Hala ere, herrialde batzuetan hobekuntzak izan dira: Kenya, Pakistan eta Malawi laguntza programetatik atera dira, eta Somalian eta Yemenen egoerak hobera egin du.</t>
    </r>
  </si>
  <si>
    <r>
      <rPr>
        <sz val="9"/>
        <color rgb="FFB7B7B7"/>
        <rFont val="Arial"/>
        <family val="0"/>
        <charset val="1"/>
      </rPr>
      <t xml:space="preserve">Hona hemen laburtutako testua:
</t>
    </r>
    <r>
      <rPr>
        <sz val="9"/>
        <color rgb="FF000000"/>
        <rFont val="Arial"/>
        <family val="0"/>
        <charset val="1"/>
      </rPr>
      <t xml:space="preserve">
**Itsaso amniotikoa** Oihane Jaka Irizarren (Donostia, 1985) poema liburua da, eta Karmele Igartua sormen bekaren bidez sortu zuen, Idazle Eskolaren eta Aretxabaletako Udalaren ekinaldiari esker. Liburua hiru zatitan egituratuta dago: *11 urte, 11 hilabete eta 11 egun*. Amatasuna, galera, eta heriotzatik bizitzarako trantsizioak dira gai nagusiak.
Liburuak bi metafora nagusi darabiltza: **zuhaitza**, bizitzaren hazkuntza biribila adierazten duena, eta **matrioxka**, </t>
    </r>
    <r>
      <rPr>
        <strike val="true"/>
        <sz val="9"/>
        <color rgb="FF000000"/>
        <rFont val="Arial"/>
        <family val="0"/>
        <charset val="1"/>
      </rPr>
      <t xml:space="preserve">belaunaldi arteko loturak eta sakoneko oinarrizko izaera irudikatzen dituena</t>
    </r>
    <r>
      <rPr>
        <sz val="9"/>
        <color rgb="FF000000"/>
        <rFont val="Arial"/>
        <family val="0"/>
        <charset val="1"/>
      </rPr>
      <t xml:space="preserve">. 
Lehen atalean (*11 urte*), haurtzaroko galera eta aitaren heriotza lantzen dira. Bigarrenean (*11 hilabete*), haurdunaldia eta jaioko ez den haurraren galerak aztertzen dira, eta hirugarrenean (*11 egun*), erditzea, ondorengo oinazea eta errealitatearen kontraesanen inguruko hausnarketa egiten da. Atal honetan, beteko ez diren desioak nabarmentzen dira.
Jaka biologoa eta zientzialaria izanik ere, literatura eta poesiarekiko pasioa gaztetatik izan du. Idazle Eskolan izandako esperientziak bere idazkera aberastu zuen, eta Tere Irastorza irakasle eta poetak haren minimalismoa azpimarratu du: "</t>
    </r>
    <r>
      <rPr>
        <strike val="true"/>
        <sz val="9"/>
        <color rgb="FF000000"/>
        <rFont val="Arial"/>
        <family val="0"/>
        <charset val="1"/>
      </rPr>
      <t xml:space="preserve">Oso elementu gutxirekin lortzen du sakontasuna</t>
    </r>
    <r>
      <rPr>
        <sz val="9"/>
        <color rgb="FF000000"/>
        <rFont val="Arial"/>
        <family val="0"/>
        <charset val="1"/>
      </rPr>
      <t xml:space="preserve">". 
Liburuak Karmele Igartuaren esaldia dakar gogora: "Amaiera on bat hasiera berri bat da". Horrela, *Itsaso amniotikoa* Jakaren sormenaren aro berri baten abiapuntu bihurtu da.</t>
    </r>
  </si>
  <si>
    <r>
      <rPr>
        <sz val="9"/>
        <color rgb="FFB7B7B7"/>
        <rFont val="Arial"/>
        <family val="0"/>
        <charset val="1"/>
      </rPr>
      <t xml:space="preserve">**Laburpena:**  
</t>
    </r>
    <r>
      <rPr>
        <sz val="9"/>
        <color rgb="FF000000"/>
        <rFont val="Arial"/>
        <family val="0"/>
        <charset val="1"/>
      </rPr>
      <t xml:space="preserve">
Oihane Jaka Irizarrek **_Itsaso amniotikoa_** poema liburua idatzi du Karmele Igartua sormen bekaren bidez, amatasunaren eta galeraren inguruko hausnarketak jorratuz. Liburua hiru ataletan egituratuta dago: haurtzaroan heriotzarekin lotutako galera, haurdunaldiaren garaian jaioko ez den haurraren galera, eta erditzearekin lotutako beteko ez diren desioen galera. Bi metafora nagusi erabiltzen dira: zuhaitza (</t>
    </r>
    <r>
      <rPr>
        <strike val="true"/>
        <sz val="9"/>
        <color rgb="FF000000"/>
        <rFont val="Arial"/>
        <family val="0"/>
        <charset val="1"/>
      </rPr>
      <t xml:space="preserve">hazkuntza eta eraldaketa adierazteko</t>
    </r>
    <r>
      <rPr>
        <sz val="9"/>
        <color rgb="FF000000"/>
        <rFont val="Arial"/>
        <family val="0"/>
        <charset val="1"/>
      </rPr>
      <t xml:space="preserve">) eta matrioxka (</t>
    </r>
    <r>
      <rPr>
        <strike val="true"/>
        <sz val="9"/>
        <color rgb="FF000000"/>
        <rFont val="Arial"/>
        <family val="0"/>
        <charset val="1"/>
      </rPr>
      <t xml:space="preserve">bizitzaren barneko loturak islatzeko</t>
    </r>
    <r>
      <rPr>
        <sz val="9"/>
        <color rgb="FF000000"/>
        <rFont val="Arial"/>
        <family val="0"/>
        <charset val="1"/>
      </rPr>
      <t xml:space="preserve">). Jaka biologian doktorea izanik, literaturara eta poesiara gerturatu da Idazle Eskolaren bidez, eta Tere Irastorza irakasle izan du bidelagun. Liburuak amatasuna, galera eta bizitzaren trantsizioak esploratzen ditu, poetaren ikuspegi pertsonaletik eta sentiberatasunetik.</t>
    </r>
  </si>
  <si>
    <r>
      <rPr>
        <sz val="9"/>
        <color rgb="FFB7B7B7"/>
        <rFont val="Arial"/>
        <family val="0"/>
        <charset val="1"/>
      </rPr>
      <t xml:space="preserve">Hona hemen testua 5W1H metodoa erabiliz laburtua:  
</t>
    </r>
    <r>
      <rPr>
        <sz val="9"/>
        <color rgb="FF000000"/>
        <rFont val="Arial"/>
        <family val="0"/>
        <charset val="1"/>
      </rPr>
      <t xml:space="preserve">
### 1. **Zer**  
*Itsaso amniotikoa* Oihane Jaka Irizarrek idatzitako poema liburua da. Amatasuna, galera, eta bizitzaren eta heriotzaren arteko trantsizioak jorratzen ditu. Liburua hiru ataletan egituratuta dago: **11 urte** (heriotza), **11 hilabete** (haurdunaldia), eta **11 egun** (erditzea eta ondorengo esperientziak). Bi metafora nagusi darabiltza: zuhaitza eta matrioxka.  
### 2. **Nork**  
Idazlea **Oihane Jaka Irizar** da (Donostia, 1985). Tere Irastorza poetak eta Idazle Eskolako irakasleak lagundu dio liburua sortzeko prozesuan.  
### 3. **Noiz**  
Liburuaren muinak **2022ko abenduan** Karmele Igartua sormen beka jaso zuen. Jakak urtebeteko epea izan du liburua osatzeko eta umotzeko.  
### 4. **Non**  
Liburuaren sorrera-prozesua **Idazle Eskolan** eta Aretxabaletan garatu da, bertako Udalak antolatutako bekaren baitan.  
### 5. **Zergatik**  
Jakaren liburua bere bizipenetan eta galeran oinarritzen da, haurtzaroan aitarekin izandako esperientziatik hasi eta amatasunera arteko bidaia aztertzeko. Horrez gain, amatasuna ulertzeko eta idazte prozesua berriro pizteko helburua du.  
### 6. **Nola**  
Liburua **minimalismoaren teknikak** erabiliz idatzi du, hizkuntza jokoekin eta elementu sinpleekin forma emanaz. Tere Irastorzaren hitzetan, "pentsamendu hazien" bidez espresatzen da. Jakak bere bizipenak fikzioarekin nahastu ditu, esperientzia kolektibo bat iradokitzeko.  </t>
    </r>
  </si>
  <si>
    <r>
      <rPr>
        <sz val="9"/>
        <color rgb="FF000000"/>
        <rFont val="Arial"/>
        <family val="0"/>
        <charset val="1"/>
      </rPr>
      <t xml:space="preserve">Oihane Jaka Irizarrek **Itsaso amniotikoa** (Elkar) poema liburua argitaratu du, Karmele Igartua sormen beka irabazi ostean (2022). Liburua hiru ataletan dago egituratuta: **11 urte**, **11 hilabete**, eta **11 egun**, eta gai nagusiak amatasuna, galera eta bizitzaren zikloak dira. 
Hizkuntza eta formaren minimalismoa nabarmendu dira, eta bi metafora nagusi baliatu ditu: **zuhaitza** (bizitzaren eta hazkundearen sinboloa) eta **matrioxka** (transmisio eta belaunaldi arteko lotura irudikatzeko). 
Lehen atalean heriotza lantzen da (umetan aita galdu izanaren eragina), bigarrenean jaioko ez den haurra, eta hirugarrenean erditzea eta ondorengo esperientziak, </t>
    </r>
    <r>
      <rPr>
        <strike val="true"/>
        <sz val="9"/>
        <color rgb="FF000000"/>
        <rFont val="Arial"/>
        <family val="0"/>
        <charset val="1"/>
      </rPr>
      <t xml:space="preserve">barnealdetik kanpoaldetik egindako bidaia gisa.
</t>
    </r>
    <r>
      <rPr>
        <sz val="9"/>
        <color rgb="FF000000"/>
        <rFont val="Arial"/>
        <family val="0"/>
        <charset val="1"/>
      </rPr>
      <t xml:space="preserve">
Tere Irastorza poetak Jakaren eboluzioa azpimarratu du, eta liburuak </t>
    </r>
    <r>
      <rPr>
        <strike val="true"/>
        <sz val="9"/>
        <color rgb="FF000000"/>
        <rFont val="Arial"/>
        <family val="0"/>
        <charset val="1"/>
      </rPr>
      <t xml:space="preserve">galera eta hasiera berrien arteko trantsizio gisa funtzionatzen duela nabarmendu</t>
    </r>
    <r>
      <rPr>
        <sz val="9"/>
        <color rgb="FF000000"/>
        <rFont val="Arial"/>
        <family val="0"/>
        <charset val="1"/>
      </rPr>
      <t xml:space="preserve">. Jaka, biologian doktorea eta idazlea, </t>
    </r>
    <r>
      <rPr>
        <strike val="true"/>
        <sz val="9"/>
        <color rgb="FF000000"/>
        <rFont val="Arial"/>
        <family val="0"/>
        <charset val="1"/>
      </rPr>
      <t xml:space="preserve">literatura eta naturaren arteko lotura esploratzen jarraitzeko bidean dago</t>
    </r>
    <r>
      <rPr>
        <sz val="9"/>
        <color rgb="FF000000"/>
        <rFont val="Arial"/>
        <family val="0"/>
        <charset val="1"/>
      </rPr>
      <t xml:space="preserve">.</t>
    </r>
  </si>
  <si>
    <t xml:space="preserve">**Bart gauean pintaketa faxistak agertu dira Iruñeko Alde Zaharrean**
Iruñeko Alde Zaharrean, San Frantzisko plazan eta inguruetan, bart gauean pintaketa faxistak egin dituzte. Pintaketetan, nagusiki Erorien Monumentuaren aldeko mezuak ikusi dira, hala nola *Los caídos no se tocan* (eroriak ez dira ukitzen). Monumentu hori eraisteko eskariak ugariak izan dira azken asteetan egindako protestetan, eta, dirudienez, faxistek beren mezuekin erantzun nahi izan dute. Gainera, svastikak, Daviden izarrak eta beste ikur faxista batzuk ere marraztu dituzte.
EH Bilduren egoitzaren kanpoaldea ere ez da salbuespena izan; hainbat ikur faxista margotu dituzte bertan, eta pintaketa batzuetan *Asiron narizon* (Asiron sudur handi) idatzi dute svastiken eta Daviden izarren artean. EH Bilduk irmoki salatu ditu gertakari hauek, eta adierazpen argia egin du:
&gt; «Faxistei ez diegu utziko gure bizitzak eta erabakiak baldintzatzen. Konpromiso osoa dugu bizikidetza eta memoria demokratikoarekin». 
Egoitzan egindako margoketak gogor gaitzetsi dituzte, eta aldarrikatu dute ez dutela inolako mehatxuren aurrean amore emango.</t>
  </si>
  <si>
    <t xml:space="preserve">**Laburpena:**  
Bart gauean, pintaketa faxistak agertu dira Iruñeko Alde Zaharrean, San Frantzisko plazan eta EH Bilduren egoitzan. Erorien Monumentuaren aldeko mezuak, svastikak, Daviden izarrak eta beste ikur faxista batzuk marraztu dituzte, protestei erantzunez. EH Bilduk irmoki salatu ditu gertakariak, bizikidetza eta memoria demokratikoarekin duen konpromisoa azpimarratuz.</t>
  </si>
  <si>
    <t xml:space="preserve">**5W1H metodoa aplikatuz:**  
### 1. **Zer?**  
- Iruñeko Alde Zaharrean pintaketa faxistak egin dituzte. Pintaketetan, Erorien Monumentuaren aldeko mezuak eta ikur faxistak margotu dituzte, hala nola svastikak eta Daviden izarrak.  
- EH Bilduren egoitzaren kanpoaldean ere pintaketa iraingarriak egin dituzte, tartean "Asiron narizon" idatziz.  
### 2. **Nork?**  
- Pintaketak faxistek egin dituztela adierazten da, baina egile zehatzik ez dute identifikatu testuan.  
### 3. **Noiz?**  
- Bart gauean (2024ko apirilaren 24tik 25erako gaua).  
### 4. **Non?**  
- Iruñeko Alde Zaharrean, zehazki San Frantzisko plazan eta inguruetan.  
- EH Bilduren egoitzaren kanpoaldean.  
### 5. **Zergatik?**  
- Erorien Monumentua eraisteko eskaerei erantzun nahi izan dute faxistek, monumentu hori defendatzeko mezuak margotuz.  
- EH Bilduren aurkako pintaketak, haien aurkako jarrera adierazteko eta iseka egiteko izan dira.  
### 6. **Nola?**  
- Pareten gainean margotuz mezuak, ikur faxistak eta pertsona jakin bati zuzendutako irainak.  
### Laburpena:  
Bart gauean, faxistek pintaketa faxistak egin dituzte Iruñeko Alde Zaharrean, Erorien Monumentuaren aldeko mezuak eta hainbat ikur margotuz. EH Bilduren egoitza ere jomugan izan dute, haien kanpoaldean margoketak eta irainak eginez. EH Bilduk irmoki salatu ditu gertakari hauek eta bizikidetza eta memoria demokratikoarekiko konpromisoa berretsi du.</t>
  </si>
  <si>
    <t xml:space="preserve">Iruñeko Alde Zaharrean, San Frantzisko plazan eta inguruetan, pintaketa faxistak agertu dira, Erorien Monumentuaren aldeko mezuak eta ikur faxistak (svastikak eta Daviden izarrak) barne. EH Bilduren egoitzaren kanpoaldean ere pintaketa iraingarriak egin dituzte, eta alderdiak irmoki salatu ditu gertaerak, bizikidetza eta memoria demokratikoarekiko konpromisoa azpimarratuz. Erorien Monumentua eraisteko eskakizunen aurrean faxistek margoketekin erantzun dute.</t>
  </si>
  <si>
    <r>
      <rPr>
        <sz val="9"/>
        <color rgb="FF000000"/>
        <rFont val="Arial"/>
        <family val="0"/>
        <charset val="1"/>
      </rPr>
      <t xml:space="preserve">**Europako industria eolikoa: Bruselaren laguntza eta neurri berriak zailtasunei aurre egiteko**  
Europako industria eolikoko hiru ekoizle nagusiak (Siemens Gamesa, Vestas eta Nordex) galera handiak jasaten ari dira, baina Europako Batzordeak laguntza handiak iragarri ditu haientzat. Honako hauek dira neurri nagusiak:  
- **Finantza-laguntza eta babes handiagoa**: Berrikuntzarako Funtsa bikoiztuko da (1.400 milioi euro), eta Europako Inbertsio Bankuak baldintza hobeak eskainiko ditu sektorearentzat.  
- **Enkanteen irizpide berriak**: Preziorik merkeenean oinarritutako enkanteak saihestu nahi dira, eta industria berritzailea eta iraunkorra bultzatzeko irizpideak ezarriko dira.  
- **Tramiteak arintzea**: Proiektu eolikoak bizkortzeko baimen prozedurak azkartuko dira Accelere-RES programaren bidez. Online tresna bat eta gida eguneratua prestatuko dira prozedurak sinplifikatzeko.  
**Siemens Gamesaren egoera larria**  
Siemens Gamesak bideragarritasun plana aurkeztu behar du azaroaren 21ean, eta sindikatuak kezkatuta daude. Enpresak 2.800 laguni ematen die lana Hego Euskal Herrian.  
**Erronka nagusiak**  
Batzordeak azpimarratu du sektorea inflazio handiaren eta lehengaien prezioaren garestitzearen eraginez dagoela kaltetuta. Gainera, Txinako lehiakideek estatuaren babesa dutenez, Europako enpresak desabantailan daude.  
**Helburu estrategikoak**  
EBk energia berriztagarrien proiektuen ziurgabetasuna murriztea eta itsasoko proiektu eolikoak bizkortzea nahi du. 2022tik aurrera urteko 12 gigawatt instalatu beharko dira,</t>
    </r>
    <r>
      <rPr>
        <sz val="9"/>
        <color rgb="FFFF0000"/>
        <rFont val="Arial"/>
        <family val="0"/>
        <charset val="1"/>
      </rPr>
      <t xml:space="preserve"> gaur egungo erritmoa hamarrena denean</t>
    </r>
    <r>
      <rPr>
        <sz val="9"/>
        <color rgb="FF000000"/>
        <rFont val="Arial"/>
        <family val="0"/>
        <charset val="1"/>
      </rPr>
      <t xml:space="preserve">.  
Eolikoa EBn kontsumitzen den energiaren %16 da, eta sektoreak 300.000 enplegu sortzen ditu, 42.000 milioi euroko ekarpen ekonomikoarekin.</t>
    </r>
  </si>
  <si>
    <r>
      <rPr>
        <sz val="9"/>
        <color rgb="FF999999"/>
        <rFont val="Arial"/>
        <family val="0"/>
        <charset val="1"/>
      </rPr>
      <t xml:space="preserve">Testuaren laburpena:
</t>
    </r>
    <r>
      <rPr>
        <sz val="9"/>
        <color rgb="FF000000"/>
        <rFont val="Arial"/>
        <family val="0"/>
        <charset val="1"/>
      </rPr>
      <t xml:space="preserve">
Europako industria eolikoko enpresa nagusiak galera handiak jasaten ari diren </t>
    </r>
    <r>
      <rPr>
        <sz val="9"/>
        <color rgb="FFFF0000"/>
        <rFont val="Arial"/>
        <family val="0"/>
        <charset val="1"/>
      </rPr>
      <t xml:space="preserve">arren</t>
    </r>
    <r>
      <rPr>
        <sz val="9"/>
        <color rgb="FF000000"/>
        <rFont val="Arial"/>
        <family val="0"/>
        <charset val="1"/>
      </rPr>
      <t xml:space="preserve">, Europako Batzordeak laguntzak eta tramiteak errazteko neurriak iragarri ditu sektorea sustatzeko. Batzordeak Asiako lehiakideen abantaila bidegabeak kontrolatzeko eta Europako ekoizpen ahalmena handitzeko neurriak ere hartu nahi ditu. Enkanteetan prezioaz gain beste irizpideak kontuan hartzea, energia berriztagarrien baimenak azkartzea eta sektoreari finantza eta legediaren aldetik ziurtasuna eskaintzea dira helburu nagusiak. Europako ekoizpen ahalmena handitu eta itsasoko proiektu eolikoak bizkortzea ezinbestekoak dira EBren deskarbonizazio helburuak betetzeko.</t>
    </r>
  </si>
  <si>
    <r>
      <rPr>
        <sz val="9"/>
        <color rgb="FF000000"/>
        <rFont val="Arial"/>
        <family val="0"/>
        <charset val="1"/>
      </rPr>
      <t xml:space="preserve">**5W1H Laburpena:**  
- **Zer (What):**  
Europako industria eolikoko ekoizle nagusiek zailtasun ekonomikoak dituzte, baina Europako Batzordeak hainbat neurri eta laguntza iragarri ditu sektore hori babesteko eta indartzeko.  
- **Nork (Who):**  
Europako industria eolikoko hiru enpresa nagusiak (Siemens Gamesa, Vestas, eta Nordex), Europako Batzordea, Kadri Simson (Energia komisarioa), eta EIB Europako Inbertsio Bankua.  
- **Noiz (When):**  
Neurriak dagoeneko iragarri dira, baina azaroaren 21ean Siemens Gamesak bere bideragarritasun plana aurkeztuko du, eta apirilerako energia berriztagarrien proiektuak tramitatzeko gida eguneratua prest egongo da.  
- **Non (Where):**  
Europa osoan, eta zehazki Hego Euskal Herrian Siemens Gamesak duen presentziarekin lotuta.  
- **Zergatik (Why):**  
Ekoizleek inflazioaren, lehengaien garestitzearen, eta kanpoko lehiakideen presioen ondorioz arazoak dituzte. Horrez gain, tramite burokratikoek proiektuak atzeratzen dituzte.  
- **Nola (How):**  
Europako Batzordeak hainbat ekimen iragarri ditu: laguntzak bikoiztea, tramiteak arintzea (Accelere-RES programa), enkanteen diseinuak aldatzea, eta kanpoko lehiakideen jarduera bidegabeak kontrolatzea. Halaber, finantzaketa baldintza hobeak eta itsasoko proiektu eolikoen garapena bultzatu nahi ditu.  
Europako </t>
    </r>
    <r>
      <rPr>
        <sz val="9"/>
        <color rgb="FFFF0000"/>
        <rFont val="Arial"/>
        <family val="0"/>
        <charset val="1"/>
      </rPr>
      <t xml:space="preserve">eolizitatea</t>
    </r>
    <r>
      <rPr>
        <sz val="9"/>
        <color rgb="FF000000"/>
        <rFont val="Arial"/>
        <family val="0"/>
        <charset val="1"/>
      </rPr>
      <t xml:space="preserve"> sustatzeko politika koordinatua sektorearen erronkei aurre egiteko tresna nagusia izango da.</t>
    </r>
  </si>
  <si>
    <t xml:space="preserve">Europako industria eolikoaren ekoizle handiek (Siemens Gamesa, Vestas eta Nordex) galera handiak dituzte inflazioaren, lehengaien garestitzearen eta lehiakide txinatarren praktikengatik. Europako Batzordeak laguntza plan bat aurkeztu du sektorea indartzeko. Neurriak hauek dira: proiektuak bizkortzeko tramiteak arintzea, enkanteak prezioan soilik oinarritzea saihestea, merkataritza praktika bidegabeak kontrolatzea, eta maileguetarako baldintzak hobetzea EIBren eta Berrikuntzarako Funtsaren bitartez. Itsasoko eolikoak bizkortzea ere lehentasuna da. Sektoreak EBko BPGari 42.000 milioi euro eta 300.000 enplegu ematen dizkio.</t>
  </si>
  <si>
    <r>
      <rPr>
        <sz val="9"/>
        <color rgb="FFB7B7B7"/>
        <rFont val="Arial"/>
        <family val="0"/>
        <charset val="1"/>
      </rPr>
      <t xml:space="preserve">Hona hemen laburpena:
</t>
    </r>
    <r>
      <rPr>
        <sz val="9"/>
        <color rgb="FF000000"/>
        <rFont val="Arial"/>
        <family val="0"/>
        <charset val="1"/>
      </rPr>
      <t xml:space="preserve">
Eako Poesia Egunen ondoren sortutako hutsunea betetzeko, Euskaltzaindiak Irailekoak izeneko poesia jaialdia antolatu zuen iaz, eta aurten Itsasun (Lapurdi) egingo da. Jaialdia irailaren 28an eta 29an ospatuko da, egun eta erdiko programarekin. Helburua euskal poeten lana zabaltzea da, baina nazioarteko poetak ere izango dira. Poesiari ikusgarritasuna emateko, poetaren bertsoak erakusleihoetan jarriko dituzte, eta hitzaldiak eta irakurraldiak ere egongo dira. Egitaraua irailean zehaztuko da, eta antolaketan hainbat erakundek parte hartu dute.</t>
    </r>
  </si>
  <si>
    <t xml:space="preserve">**Laburpena:**
Eako Poesia Egunak 2018an amaitu ziren, eta hutsune hori betetzeko, Euskaltzaindiak Irailekoak izeneko poesia jaialdia sortu zuen iaz. Festibal honek ez du kokapen finkorik izango, eta aurten Itsasun (Lapurdi) egingo da, irailaren 28an eta 29an. Jaialdiaren helburua euskal poeten lana sustatzea da, baina nazioarteko poetak ere gonbidatuko dituzte. Programa zehatza irailean iragarriko dute, baina hitzaldiak, irakurraldiak, eta herriko erakusleihoetan poeta ezberdinen bertsoak jartzea aurreikusi dituzte. Euskaltzaindiak egitaraua Itsasuko Herriko Etxearekin eta beste erakunde batzuekin elkarlanean antolatu du.</t>
  </si>
  <si>
    <r>
      <rPr>
        <sz val="9"/>
        <color rgb="FF999999"/>
        <rFont val="Arial"/>
        <family val="0"/>
        <charset val="1"/>
      </rPr>
      <t xml:space="preserve">Hona hemen testuaren laburpena 5W1H metodoa erabiliz:  
</t>
    </r>
    <r>
      <rPr>
        <sz val="9"/>
        <color rgb="FF000000"/>
        <rFont val="Arial"/>
        <family val="0"/>
        <charset val="1"/>
      </rPr>
      <t xml:space="preserve">
**1. Zer?**  
- Eako Poesia Egunen ondorengoa den Irailekoak poesia jaialdia.  
- Helburua: euskal poeten lana eta </t>
    </r>
    <r>
      <rPr>
        <strike val="true"/>
        <sz val="9"/>
        <color rgb="FF000000"/>
        <rFont val="Arial"/>
        <family val="0"/>
        <charset val="1"/>
      </rPr>
      <t xml:space="preserve">nazioarteko poetak </t>
    </r>
    <r>
      <rPr>
        <sz val="9"/>
        <color rgb="FF000000"/>
        <rFont val="Arial"/>
        <family val="0"/>
        <charset val="1"/>
      </rPr>
      <t xml:space="preserve">gizarteratzea.  
**2. Nork?**  
- Euskaltzaindia da jaialdia antolatzen duena.  
- Itsasuko Herriko Etxea, Euskal Kultur Erakundea eta Euskararen Erakunde Publikoa ere laguntzaile dira.  
**3. Noiz?**  
- Aurtengo jaialdia irailaren 28an (egun osoan) eta irailaren 29an (goizez) izango da.  
**4. Non?**  
- Itsasun (Lapurdi).  
**5. Zergatik?**  
- Eako Poesia Egunen hutsunea betetzeko eta euskal poesiari eta poetari ikusgarritasuna emateko.  
- Poesiari «presentzia handiagoa» emateko Itsasun.  
**6. Nola?**  
- Hitzaldi eta irakurraldiekin.  
- Herriko erakusleihoak poetaren bertso lerroekin apainduz.  
- Programa zehatzaren iragarpena irailean egingo da.  
- Poeta ezagunenen lanak aurkeztuko dira, hala nola Forugh Farrokhzad, Anne Sexton eta Bernardo Atxagaren bertsoak.  
</t>
    </r>
    <r>
      <rPr>
        <sz val="9"/>
        <color rgb="FF999999"/>
        <rFont val="Arial"/>
        <family val="0"/>
        <charset val="1"/>
      </rPr>
      <t xml:space="preserve">Laburpen honen bidez, ekimenaren oinarrizko xehetasunak argi eta zehatz agertzen dira.</t>
    </r>
  </si>
  <si>
    <r>
      <rPr>
        <sz val="9"/>
        <color rgb="FF000000"/>
        <rFont val="Arial"/>
        <family val="0"/>
        <charset val="1"/>
      </rPr>
      <t xml:space="preserve">Eako Poesia Egunen </t>
    </r>
    <r>
      <rPr>
        <sz val="9"/>
        <color rgb="FFFF0000"/>
        <rFont val="Arial"/>
        <family val="0"/>
        <charset val="1"/>
      </rPr>
      <t xml:space="preserve">ondorengoa</t>
    </r>
    <r>
      <rPr>
        <sz val="9"/>
        <color rgb="FF000000"/>
        <rFont val="Arial"/>
        <family val="0"/>
        <charset val="1"/>
      </rPr>
      <t xml:space="preserve"> betetzeko, Euskaltzaindiak iaz Irailekoak poesia jaialdia sortu zuen. Aurten Itsasun (Lapurdi) egingo dute, irailaren 28an eta 29an. Euskal eta nazioarteko poetak izango dira, eta programa zehatza irailean argitaratuko dute. Herriko erakusleihoetan hainbat poetaren bertsoak erakutsiko dituzte, besteak beste, Forugh Farrokhzad, Anne Sexton eta Bernardo Atxagarenak. Antolaketan, Itsasuko Herriko Etxeak eta beste erakunde batzuek lagundu dute.</t>
    </r>
  </si>
  <si>
    <t xml:space="preserve">**Testu laburtua:**
Haizea kontra dutela sentitu dute Euskal, Katalanezko eta Galizierazko Idazleen Elkarteek, eta horrek bultzatuta, hamar urteko etenaren ondoren Galeusca topaketak berriz antolatzea erabaki dute. Maiatzaren 29an Palman izango da bilera, itzulpengintza ardatz hartuta. Helburu nagusietako bat hiru literaturen arteko zubiak indartzea da, baita Espainiako Estatuan hizkuntza eta kultura gutxituen eskubideak defendatzeko ahots bateratua lortzea ere. 
Zergatik eten ziren topaketak? Loaldi baten ondorio izan zen. Orain, hizkuntzen eta kulturen aurkako «kontrarreforma» dela-eta, elkarlana berraktibatu nahi izan dute, nazioarteko literatur trukeak eta itzulpenak sustatuz.
Topaketek literaturak eta idazleak ezagutzeko aukera ematen dute, baina azken urteetako etenak zubiak ahuldu dituela aitortu dute. Manifestu eguneratu bat irakurriz hasiko dira bilkurak, eta aldarrikatu dute periferia ez direla, zentraltasuna beraiek direla.</t>
  </si>
  <si>
    <r>
      <rPr>
        <sz val="9"/>
        <color rgb="FF000000"/>
        <rFont val="Arial"/>
        <family val="0"/>
        <charset val="1"/>
      </rPr>
      <t xml:space="preserve">Testuaren edukirik garrantzitsuena laburtua:  
Hamar urteko etenaren ostean, Galeusca topaketak berreskuratu dituzte Euskal Idazleen Elkarteak, Katalanezko Idazleen Elkarteak eta Galizierazko Idazleen Elkarteak, haizea kontra dutelako eta hizkuntza eta kulturaren alde elkarlanean aritzeko beharra sentitu dutelako. Itzulpengintza izango da maiatzaren 29an Palman egingo diren topaketen ardatza, hiru literaturen arteko zubiak indartzea </t>
    </r>
    <r>
      <rPr>
        <sz val="9"/>
        <color rgb="FFFF0000"/>
        <rFont val="Arial"/>
        <family val="0"/>
        <charset val="1"/>
      </rPr>
      <t xml:space="preserve">helburu</t>
    </r>
    <r>
      <rPr>
        <sz val="9"/>
        <color rgb="FF000000"/>
        <rFont val="Arial"/>
        <family val="0"/>
        <charset val="1"/>
      </rPr>
      <t xml:space="preserve">. Kontrarreforma baten testuinguruan, </t>
    </r>
    <r>
      <rPr>
        <sz val="9"/>
        <color rgb="FFFF0000"/>
        <rFont val="Arial"/>
        <family val="0"/>
        <charset val="1"/>
      </rPr>
      <t xml:space="preserve">hizkuntzen eta kulturaren </t>
    </r>
    <r>
      <rPr>
        <sz val="9"/>
        <color rgb="FF000000"/>
        <rFont val="Arial"/>
        <family val="0"/>
        <charset val="1"/>
      </rPr>
      <t xml:space="preserve">bigarren maila ezartzen duten eraso judizialen aurrean elkarlanerako espazioa sortu nahi dute, artisten eskubideak eta eskubide digitalak ere kontuan hartuz. Gainera, administrazio mugak gainditu eta idazleen arteko harremanak indartu nahi dituzte, </t>
    </r>
    <r>
      <rPr>
        <strike val="true"/>
        <sz val="9"/>
        <color rgb="FF000000"/>
        <rFont val="Arial"/>
        <family val="0"/>
        <charset val="1"/>
      </rPr>
      <t xml:space="preserve">beren literaturak zentraltasunean kokatzeko</t>
    </r>
    <r>
      <rPr>
        <sz val="9"/>
        <color rgb="FF000000"/>
        <rFont val="Arial"/>
        <family val="0"/>
        <charset val="1"/>
      </rPr>
      <t xml:space="preserve">.</t>
    </r>
  </si>
  <si>
    <r>
      <rPr>
        <sz val="9"/>
        <color rgb="FF000000"/>
        <rFont val="Arial"/>
        <family val="0"/>
        <charset val="1"/>
      </rPr>
      <t xml:space="preserve">Hona hemen testua laburtua 5W1H metodoa erabiliz:
---
### **Zer?**  
Galeusca topaketak, Katalanezko, Galizierazko eta Euskal Idazleen Elkarteek antolatuta, itzulpengintza ardatz hartuta eta hiru literaturen arteko zubiak indartzeko helburuz.
---
### **Nork?**  
- Katalanezko Idazleen Elkartea.  
- Galizierazko Idazleen Elkartea.  
- Euskal Idazleen Elkartea (Joxemari Karrere Zabalaren ahotik).
---
### **Noiz?**  
</t>
    </r>
    <r>
      <rPr>
        <strike val="true"/>
        <sz val="9"/>
        <color rgb="FF000000"/>
        <rFont val="Arial"/>
        <family val="0"/>
        <charset val="1"/>
      </rPr>
      <t xml:space="preserve">2023ko</t>
    </r>
    <r>
      <rPr>
        <sz val="9"/>
        <color rgb="FF000000"/>
        <rFont val="Arial"/>
        <family val="0"/>
        <charset val="1"/>
      </rPr>
      <t xml:space="preserve"> maiatzaren 29an.
---
### **Non?**  
Palma, Balearretan.
---
### **Zergatik?**  
- Hizkuntzen eta kulturaren aurkako mehatxu judizial eta politikoak.  
- Estatuan proposatzen diren aldaketetan (artisten estatutua, eskubide digitalak, etab.) ahots bakarra izateko beharra.  
- Idazleen eta literaturen arteko ezagutza sustatzeko.
---
### **Nola?**  
- Egun beteko programa antolatuz.  
- Manifestu bat irakurriz topaketei hasiera emanez.  
- Itzulpengintzaren funtsezko papera azpimarratuz.  
- Hiru hizkuntzen eta literaturen arteko harremanak berrindartuz.</t>
    </r>
  </si>
  <si>
    <r>
      <rPr>
        <sz val="9"/>
        <color rgb="FF000000"/>
        <rFont val="Arial"/>
        <family val="0"/>
        <charset val="1"/>
      </rPr>
      <t xml:space="preserve">Galeusca topaketak berriro antolatu dituzte Katalanezko, Galizierazko eta Euskal Idazleen Elkarteek, hamar urteko etenaren ondoren, maiatzaren 29an Palman (Balearrak). Haizearen kontra dagoen egoerak, hala nola hizkuntzen eta kulturaren aurkako </t>
    </r>
    <r>
      <rPr>
        <sz val="9"/>
        <color rgb="FFFF0000"/>
        <rFont val="Arial"/>
        <family val="0"/>
        <charset val="1"/>
      </rPr>
      <t xml:space="preserve">kontrarreforma eta epaien atzerakadak</t>
    </r>
    <r>
      <rPr>
        <sz val="9"/>
        <color rgb="FF000000"/>
        <rFont val="Arial"/>
        <family val="0"/>
        <charset val="1"/>
      </rPr>
      <t xml:space="preserve">, zubiak indartzearen eta ahots bateratua lortzearen beharra piztu dute. Topaketek itzulpengintza </t>
    </r>
    <r>
      <rPr>
        <strike val="true"/>
        <sz val="9"/>
        <color rgb="FF000000"/>
        <rFont val="Arial"/>
        <family val="0"/>
        <charset val="1"/>
      </rPr>
      <t xml:space="preserve">aztertuko</t>
    </r>
    <r>
      <rPr>
        <sz val="9"/>
        <color rgb="FF000000"/>
        <rFont val="Arial"/>
        <family val="0"/>
        <charset val="1"/>
      </rPr>
      <t xml:space="preserve"> dute, literaturen arteko harremanak eta elkarlana sustatuz. Manifestu bat aurkeztuko da Galeuscaren berpiztearen arrazoiak azalduz, eta hiru literaturen arteko ezagutza eta harremanak indartzea dute helburu.</t>
    </r>
  </si>
  <si>
    <r>
      <rPr>
        <sz val="9"/>
        <color rgb="FF000000"/>
        <rFont val="Arial"/>
        <family val="0"/>
        <charset val="1"/>
      </rPr>
      <t xml:space="preserve">Hona laburpena:  
EAJk «Euskadiko estatus berriari bultzada» ematea du helburu legegintzaldi berrian. Andoni Ortuzarrek azaldu duenez, urte eta erdian proposamen bat garatuko dute, EH Bildu eta PSE-EErekin adosteko asmoz. Onda Vasca irratian, Ortuzarrek adierazi du akordioak lortzeko aukera dagoela, Gernikako Estatutuaren aplikazioari </t>
    </r>
    <r>
      <rPr>
        <sz val="9"/>
        <color rgb="FFFF0000"/>
        <rFont val="Arial"/>
        <family val="0"/>
        <charset val="1"/>
      </rPr>
      <t xml:space="preserve">buruz</t>
    </r>
    <r>
      <rPr>
        <sz val="9"/>
        <color rgb="FF000000"/>
        <rFont val="Arial"/>
        <family val="0"/>
        <charset val="1"/>
      </rPr>
      <t xml:space="preserve"> Pedro Sanchezekin egindako ituna kontuan hartuta. Gobernu akordioari dagokionez, sozialistekin duten lankidetza mantendu nahi dute, eta espero dute ekainaren bigarren edo hirugarren astean Imanol Pradales Ajuriaenean izatea.  
EH Bilduren emaitzei buruz, Ortuzarrek «oso onak» direla esan du, baina argi utzi du bigarren indarra direla. Arnaldo Otegik, berriz, adierazi du akordioak posible direla baldin eta «jendeak nahi duena errespetatzen» bada. Bere ustez, herritar gehienek abertzaleen alde bozkatu dute, eta nazio baldintzak adosteko ardura eskatu die alderdiei. EH Bildu «ziklo berri» batean sartu dela eta haien eboluzioa «estrukturala» dela nabarmendu du.  
Sumarrek ere proposamen bat egin du, eskubide sozialak eta «Euskadiren nazio izaera» babestuko dituen estatutu berri baten </t>
    </r>
    <r>
      <rPr>
        <sz val="9"/>
        <color rgb="FFFF0000"/>
        <rFont val="Arial"/>
        <family val="0"/>
        <charset val="1"/>
      </rPr>
      <t xml:space="preserve">alde</t>
    </r>
    <r>
      <rPr>
        <sz val="9"/>
        <color rgb="FF000000"/>
        <rFont val="Arial"/>
        <family val="0"/>
        <charset val="1"/>
      </rPr>
      <t xml:space="preserve">. Horretarako, eskubide sozialak blindatu eta euskara ikasteko aukera doakoa </t>
    </r>
    <r>
      <rPr>
        <sz val="9"/>
        <color rgb="FFFF0000"/>
        <rFont val="Arial"/>
        <family val="0"/>
        <charset val="1"/>
      </rPr>
      <t xml:space="preserve">bihurtzea, baita</t>
    </r>
    <r>
      <rPr>
        <sz val="9"/>
        <color rgb="FF000000"/>
        <rFont val="Arial"/>
        <family val="0"/>
        <charset val="1"/>
      </rPr>
      <t xml:space="preserve"> botere publikoen gaitasuna indartzea ere proposatu dute.</t>
    </r>
  </si>
  <si>
    <r>
      <rPr>
        <sz val="9"/>
        <color rgb="FF000000"/>
        <rFont val="Arial"/>
        <family val="0"/>
        <charset val="1"/>
      </rPr>
      <t xml:space="preserve">Hona hemen testuaren edukirik garrantzitsuena laburtuta: 
EAJk datorren legegintzaldian Euskadiko estatus politiko berria lantzeko asmoa du, eta Andoni Ortuzarrek adierazi du EH Bildurekin eta PSE-EErekin akordioetara iristeko baldintzak badaudela. EH Bilduk eta </t>
    </r>
    <r>
      <rPr>
        <strike val="true"/>
        <sz val="9"/>
        <color rgb="FF000000"/>
        <rFont val="Arial"/>
        <family val="0"/>
        <charset val="1"/>
      </rPr>
      <t xml:space="preserve">PSEk ere </t>
    </r>
    <r>
      <rPr>
        <sz val="9"/>
        <color rgb="FF000000"/>
        <rFont val="Arial"/>
        <family val="0"/>
        <charset val="1"/>
      </rPr>
      <t xml:space="preserve">prestutasuna erakutsi dute akordio posibleak lantzeko, nahiz eta bakoitzak bere baldintzak eta ikuspegiak dituen. Aldi berean, Sumarrek Araba, Bizkai eta Gipuzkoarako estatutu berri bat proposatu du, eskubide sozialak, berdintasuna, eta herritarren aniztasuna erdigunean jarriz. 
Hitz nagusiak: **estatus politiko berria, akordioak, autogobernua, eskubide sozialak, aniztasuna**.</t>
    </r>
  </si>
  <si>
    <r>
      <rPr>
        <sz val="9"/>
        <color rgb="FF000000"/>
        <rFont val="Arial"/>
        <family val="0"/>
        <charset val="1"/>
      </rPr>
      <t xml:space="preserve">### 5W1H azterketa
#### **1. Zer (What):**  
- Euskadiko estatus berriaren proposamena lantzea eta bultzatzea da helburua.  
- Hori lortzeko, akordioak bilatuko dira EH Bildurekin eta PSE-EErekin.  
- Pedro Sanchezekin adostutako Gernikako Estatutuaren aplikazioa oinarri hartuta, estatus politiko berri baterantz aurrera egitea planteatzen da.  
- EH Bilduk bere eboluzioa "estrukturala" dela dio, eta </t>
    </r>
    <r>
      <rPr>
        <strike val="true"/>
        <sz val="9"/>
        <color rgb="FF000000"/>
        <rFont val="Arial"/>
        <family val="0"/>
        <charset val="1"/>
      </rPr>
      <t xml:space="preserve">euskaldunen</t>
    </r>
    <r>
      <rPr>
        <sz val="9"/>
        <color rgb="FF000000"/>
        <rFont val="Arial"/>
        <family val="0"/>
        <charset val="1"/>
      </rPr>
      <t xml:space="preserve"> %70ak abertzaleen alde bozkatzen duela azpimarratzen du.
#### **2. Nork (Who):**  
- **EAJ:** Andoni Ortuzar, EBBko lehendakaria, eta Imanol Pradales hautagaia.  
- **EH Bildu:** Arnaldo Otegi, koordinatzaile nagusia.  
- **PSE-EE:** Sozialistekin akordioak egitea garrantzitsua dela aipatzen dute.  
- **Sumar:** Estatus berri bat proposatzen duen koalizioa.  
#### **3. Noiz (When):**  
- EAJk urte eta erdian proposamena aurkeztuko duela esan du.  
- Gobernu negoziazioak astelehenean hasiko dira, eta ekainaren bigarren edo hirugarren astean Ajuria Enean hautagaia izatea espero dute.  
#### **4. Non (Where):**  
- Euskadi, Araba, Bizkaia eta Gipuzkoako esparru politikoan.  
- Onda Vasca eta Radio Euskadi irratiak izan dira adierazpenak egiteko lekuak.  
#### **5. Zergatik (Why):**  
- Gernikako Estatutuaren aplikazioa osatzeko.  
- Erabakitzeko eskubidea bultzatzeko eta herriaren gehiengoaren nahia </t>
    </r>
    <r>
      <rPr>
        <sz val="9"/>
        <color rgb="FFFF0000"/>
        <rFont val="Arial"/>
        <family val="0"/>
        <charset val="1"/>
      </rPr>
      <t xml:space="preserve">ordezkatzeko</t>
    </r>
    <r>
      <rPr>
        <sz val="9"/>
        <color rgb="FF000000"/>
        <rFont val="Arial"/>
        <family val="0"/>
        <charset val="1"/>
      </rPr>
      <t xml:space="preserve">.  
- Abertzaleen artean adostasunak lortu eta herriaren nazio izaera sendotzeko.  
- Etxebizitza, hezkuntza, zaintza eta giza eskubideen aldeko eskubide sozialak blindatzeko.  
#### **6. Nola (How):**  
- EAJk «bide orri zehatza» erabiliko du eta koherentziaz jardungo du.  
- EH Bilduk elkarlana proposatzen du, arduratsuak </t>
    </r>
    <r>
      <rPr>
        <sz val="9"/>
        <color rgb="FFFF0000"/>
        <rFont val="Arial"/>
        <family val="0"/>
        <charset val="1"/>
      </rPr>
      <t xml:space="preserve">izatea</t>
    </r>
    <r>
      <rPr>
        <sz val="9"/>
        <color rgb="FF000000"/>
        <rFont val="Arial"/>
        <family val="0"/>
        <charset val="1"/>
      </rPr>
      <t xml:space="preserve"> eskatuz.  
- Sumarrek nazio eta gizarte eskubideen inguruko proposamen zehatzak aurkeztu ditu.  
- PSE-EEri «pauso etikoak» ematea eskatzen zaio, eta </t>
    </r>
    <r>
      <rPr>
        <strike val="true"/>
        <sz val="9"/>
        <color rgb="FF000000"/>
        <rFont val="Arial"/>
        <family val="0"/>
        <charset val="1"/>
      </rPr>
      <t xml:space="preserve">Legebiltzarreko Mahaian akordioak bilatzea proposatzen da</t>
    </r>
    <r>
      <rPr>
        <sz val="9"/>
        <color rgb="FF000000"/>
        <rFont val="Arial"/>
        <family val="0"/>
        <charset val="1"/>
      </rPr>
      <t xml:space="preserve">.</t>
    </r>
  </si>
  <si>
    <t xml:space="preserve">EAJk, EH Bilduk eta PSE-EEk Eusko Legebiltzarrean akordioak lortzeko aukerak ikusten dituzte estatus politiko berri baten inguruan. EAJko Andoni Ortuzarrek esan du urte eta erdian proposamen bat prestatuko dutela, eta autogobernuari dagokionez «bide orri zehatza» dutela. EH Bilduko Arnaldo Otegik elkarrizketa batzuetan adierazi du erabakitzeko eskubidearen inguruan adostasuna lortzea posible dela, eta PSE-EEri «pauso etiko bat» eskatu dio akordioetara iristeko. Sumar koalizioak, berriz, Araba, Bizkaia eta Gipuzkoarako estatutu berri bat proposatu du, eskubide sozialak eta aniztasuna babesteko helburuarekin.</t>
  </si>
  <si>
    <r>
      <rPr>
        <sz val="9"/>
        <color rgb="FF000000"/>
        <rFont val="Arial"/>
        <family val="0"/>
        <charset val="1"/>
      </rPr>
      <t xml:space="preserve"> Unai Laso, hilabete batzuk lehenago lesio larri bat gainditu ondoren, berriro indartsu agertu da buruz buruko pilotan. Joanes Bakaikoaren aurkako final-zortzirenetako partidan 22-9 irabazi zuen, eta bere jokoa hobetu egin dela adierazi du, batez ere eskuinarekin. Lasok aitortu du oraindik lan egiteko beharra duela, batez ere mugikortasunaren arloan, baina konfiantza handia du </t>
    </r>
    <r>
      <rPr>
        <sz val="9"/>
        <color rgb="FFFF0000"/>
        <rFont val="Arial"/>
        <family val="0"/>
        <charset val="1"/>
      </rPr>
      <t xml:space="preserve">bere gaitasunetan</t>
    </r>
    <r>
      <rPr>
        <sz val="9"/>
        <color rgb="FF000000"/>
        <rFont val="Arial"/>
        <family val="0"/>
        <charset val="1"/>
      </rPr>
      <t xml:space="preserve">. Hurrengo partida Jokin Altunaren aurka izango du, eta Lasok bete-betean jokatzea eta irabaztea du helburu, nahiz eta Altuna ere oso aurkari gogorra izan. Lasok azpimarratu du </t>
    </r>
    <r>
      <rPr>
        <strike val="true"/>
        <sz val="9"/>
        <color rgb="FF000000"/>
        <rFont val="Arial"/>
        <family val="0"/>
        <charset val="1"/>
      </rPr>
      <t xml:space="preserve">ez duela presiorik</t>
    </r>
    <r>
      <rPr>
        <sz val="9"/>
        <color rgb="FF000000"/>
        <rFont val="Arial"/>
        <family val="0"/>
        <charset val="1"/>
      </rPr>
      <t xml:space="preserve">, eta bere helburua gozatzea eta partidaz partida aurrera egitea dela.</t>
    </r>
  </si>
  <si>
    <r>
      <rPr>
        <sz val="9"/>
        <color rgb="FFB7B7B7"/>
        <rFont val="Arial"/>
        <family val="0"/>
        <charset val="1"/>
      </rPr>
      <t xml:space="preserve"> **Laburpena:**
</t>
    </r>
    <r>
      <rPr>
        <sz val="9"/>
        <color rgb="FF000000"/>
        <rFont val="Arial"/>
        <family val="0"/>
        <charset val="1"/>
      </rPr>
      <t xml:space="preserve">
Unai Laso, pilota jokalaria</t>
    </r>
    <r>
      <rPr>
        <sz val="9"/>
        <color rgb="FFFF0000"/>
        <rFont val="Arial"/>
        <family val="0"/>
        <charset val="1"/>
      </rPr>
      <t xml:space="preserve">k</t>
    </r>
    <r>
      <rPr>
        <sz val="9"/>
        <color rgb="FF000000"/>
        <rFont val="Arial"/>
        <family val="0"/>
        <charset val="1"/>
      </rPr>
      <t xml:space="preserve">, duela bi aste </t>
    </r>
    <r>
      <rPr>
        <strike val="true"/>
        <sz val="9"/>
        <color rgb="FF000000"/>
        <rFont val="Arial"/>
        <family val="0"/>
        <charset val="1"/>
      </rPr>
      <t xml:space="preserve">Bizkarreta-Gerendiaingoan</t>
    </r>
    <r>
      <rPr>
        <sz val="9"/>
        <color rgb="FF000000"/>
        <rFont val="Arial"/>
        <family val="0"/>
        <charset val="1"/>
      </rPr>
      <t xml:space="preserve"> Joanes Bakaikoari irabazi ondoren, buruz burukoan itzuli </t>
    </r>
    <r>
      <rPr>
        <sz val="9"/>
        <color rgb="FFFF0000"/>
        <rFont val="Arial"/>
        <family val="0"/>
        <charset val="1"/>
      </rPr>
      <t xml:space="preserve">da </t>
    </r>
    <r>
      <rPr>
        <sz val="9"/>
        <color rgb="FF000000"/>
        <rFont val="Arial"/>
        <family val="0"/>
        <charset val="1"/>
      </rPr>
      <t xml:space="preserve">eta oihua entzun zuen Labriten. Lasok adierazi du urte txarra pasatu duela eta opari gisa hartu du berriro txapelketa garrantzitsuenean aritzea. Hil ala biziko partida izan arren, ilusio handiz prestatu zen eta gogo handia erakutsi zuen. Joanesen aurkako partidan, Lasok ondo jokatu zuen, batez ere hankaz eta defentsan, baina sakearekin arazoak izan zituen. Lasok aitortu du oraindik hobetu behar duela, batez ere mugitzean, baina konfiantza du bere aurrerapenarekin. Hurrengo partida Jokin Altunaren aurka izango du, eta Lasok adierazi du bete-betean jokatu behar duela irabazteko, baina konfiantza du </t>
    </r>
    <r>
      <rPr>
        <sz val="9"/>
        <color rgb="FFFF0000"/>
        <rFont val="Arial"/>
        <family val="0"/>
        <charset val="1"/>
      </rPr>
      <t xml:space="preserve">bere gaitasunetan</t>
    </r>
    <r>
      <rPr>
        <sz val="9"/>
        <color rgb="FF000000"/>
        <rFont val="Arial"/>
        <family val="0"/>
        <charset val="1"/>
      </rPr>
      <t xml:space="preserve">. Lasoren helburua minik ez hartzea, gozatzea eta partida guztietan gogor borrokatzea da.</t>
    </r>
  </si>
  <si>
    <r>
      <rPr>
        <sz val="9"/>
        <color rgb="FF999999"/>
        <rFont val="Arial"/>
        <family val="0"/>
        <charset val="1"/>
      </rPr>
      <t xml:space="preserve"> **Zer, Nork, Noiz, Non, Zergatik, Nola: Unai Laso buruz burukoan itzuli da**
</t>
    </r>
    <r>
      <rPr>
        <sz val="9"/>
        <color rgb="FF000000"/>
        <rFont val="Arial"/>
        <family val="0"/>
        <charset val="1"/>
      </rPr>
      <t xml:space="preserve">
**Zer:** Unai Lasok buruz buruko pilotan itzuli da, Joanes Bakaikoaren aurkako partidan 22-9 irabaziz.
**Nork:** Unai Laso eta Joanes Bakaiko.
**Noiz:** Duela bi aste, </t>
    </r>
    <r>
      <rPr>
        <strike val="true"/>
        <sz val="9"/>
        <color rgb="FF000000"/>
        <rFont val="Arial"/>
        <family val="0"/>
        <charset val="1"/>
      </rPr>
      <t xml:space="preserve">Bizkarreta-Gerendiaingo frontoian.
</t>
    </r>
    <r>
      <rPr>
        <sz val="9"/>
        <color rgb="FF000000"/>
        <rFont val="Arial"/>
        <family val="0"/>
        <charset val="1"/>
      </rPr>
      <t xml:space="preserve">  
**Non:** </t>
    </r>
    <r>
      <rPr>
        <strike val="true"/>
        <sz val="9"/>
        <color rgb="FF000000"/>
        <rFont val="Arial"/>
        <family val="0"/>
        <charset val="1"/>
      </rPr>
      <t xml:space="preserve">Bizkarreta-Gerendiaingo frontoian</t>
    </r>
    <r>
      <rPr>
        <sz val="9"/>
        <color rgb="FF000000"/>
        <rFont val="Arial"/>
        <family val="0"/>
        <charset val="1"/>
      </rPr>
      <t xml:space="preserve">, Nafarroan.
**Zergatik:** Lasok urte txarra pasatu ondoren, berriro txapelketa garrantzitsuenean aritzeko aukera izan zuen, eta ilusio handiz hartu zuen partidua.
**Nola:** Lasok hankaz indartsu eta ondo entrenatuta joan zen frontoira, errespetua izan arren. Hasieran, Joanes aurkari gogorra iruditu zitzaion, baina ez zuen etsi eta asko </t>
    </r>
    <r>
      <rPr>
        <sz val="9"/>
        <color rgb="FFFF0000"/>
        <rFont val="Arial"/>
        <family val="0"/>
        <charset val="1"/>
      </rPr>
      <t xml:space="preserve">nire aldekoak</t>
    </r>
    <r>
      <rPr>
        <sz val="9"/>
        <color rgb="FF000000"/>
        <rFont val="Arial"/>
        <family val="0"/>
        <charset val="1"/>
      </rPr>
      <t xml:space="preserve"> izan ziren. Partida ondo jokatu zuen, batez ere eskuinarekin eta defentsan, baina sakearekin aritu zen okerren. Gainera, fisioterapeutarengana joaten jarraitzen du, ebakuntzaren ondorioak gainditzen saiatuz.
Laso</t>
    </r>
    <r>
      <rPr>
        <sz val="9"/>
        <color rgb="FFFF0000"/>
        <rFont val="Arial"/>
        <family val="0"/>
        <charset val="1"/>
      </rPr>
      <t xml:space="preserve">-k</t>
    </r>
    <r>
      <rPr>
        <sz val="9"/>
        <color rgb="FF000000"/>
        <rFont val="Arial"/>
        <family val="0"/>
        <charset val="1"/>
      </rPr>
      <t xml:space="preserve"> adierazi du oraindik hobetu behar duela, batez ere frontoian mugitzean, baina konfiantza du bere jokoan eta prest dagoela aurkari gogorrak aurrez aurre jartzeko, hala nola Jokin Altuna. Bere helburua minik ez hartzea, partidaz partida joatea, gozatzea eta gogor borrokatzea da.</t>
    </r>
  </si>
  <si>
    <r>
      <rPr>
        <sz val="9"/>
        <color rgb="FF000000"/>
        <rFont val="Arial"/>
        <family val="0"/>
        <charset val="1"/>
      </rPr>
      <t xml:space="preserve"> Unai Laso, urtebete </t>
    </r>
    <r>
      <rPr>
        <sz val="9"/>
        <color rgb="FFFF0000"/>
        <rFont val="Arial"/>
        <family val="0"/>
        <charset val="1"/>
      </rPr>
      <t xml:space="preserve">itxita</t>
    </r>
    <r>
      <rPr>
        <sz val="9"/>
        <color rgb="FF000000"/>
        <rFont val="Arial"/>
        <family val="0"/>
        <charset val="1"/>
      </rPr>
      <t xml:space="preserve"> egon ondoren, berriro hasi da buruz buruko pilotan eta lehenengo partidan arrakasta izan du. Bere helburua minik ez hartzea eta partidaz partida aurrera egitea da, gozatuz eta gogor borrokatuz. Hurrengo partida Jokin Altunaren aurka izango du, eta Lasok konfiantza du </t>
    </r>
    <r>
      <rPr>
        <sz val="9"/>
        <color rgb="FFFF0000"/>
        <rFont val="Arial"/>
        <family val="0"/>
        <charset val="1"/>
      </rPr>
      <t xml:space="preserve">bere gaitasunetan,</t>
    </r>
    <r>
      <rPr>
        <sz val="9"/>
        <color rgb="FF000000"/>
        <rFont val="Arial"/>
        <family val="0"/>
        <charset val="1"/>
      </rPr>
      <t xml:space="preserve"> baina jakitun da Altuna ere oso aurkari gogorra dela. Lasok adierazi du </t>
    </r>
    <r>
      <rPr>
        <strike val="true"/>
        <sz val="9"/>
        <color rgb="FF000000"/>
        <rFont val="Arial"/>
        <family val="0"/>
        <charset val="1"/>
      </rPr>
      <t xml:space="preserve">ez duela presiorik</t>
    </r>
    <r>
      <rPr>
        <sz val="9"/>
        <color rgb="FF000000"/>
        <rFont val="Arial"/>
        <family val="0"/>
        <charset val="1"/>
      </rPr>
      <t xml:space="preserve"> eta bere jokoa eman nahi duela.</t>
    </r>
  </si>
  <si>
    <r>
      <rPr>
        <sz val="9"/>
        <color rgb="FF000000"/>
        <rFont val="Arial"/>
        <family val="0"/>
        <charset val="1"/>
      </rPr>
      <t xml:space="preserve"> Kutxabankek iaz 2.116 milioi euro </t>
    </r>
    <r>
      <rPr>
        <strike val="true"/>
        <sz val="9"/>
        <color rgb="FF000000"/>
        <rFont val="Arial"/>
        <family val="0"/>
        <charset val="1"/>
      </rPr>
      <t xml:space="preserve">inbertitu </t>
    </r>
    <r>
      <rPr>
        <sz val="9"/>
        <color rgb="FF000000"/>
        <rFont val="Arial"/>
        <family val="0"/>
        <charset val="1"/>
      </rPr>
      <t xml:space="preserve">zituen jasangarritasun-proiektuetan, maileguen bidez. Horietatik, 1.369 milioi euro enpresei eman zizkien, energia berriztagarriak, mugikortasun jasangarria eta etxebizitza energetikoki eraginkorrak sustatzeko. Gainera, Hipoteka Berdea izeneko mailegu berezia jarri zuen martxan, etxebizitzak erosteko eta 721 milioi euro banatu zituen, aurreko urtekoarekin alderatuta %6,7 gehiago. Kontsumorako kredituetan ere, 25 milioi euro inbertitu zituen auto elektriko eta hibridoak erosteko.</t>
    </r>
  </si>
  <si>
    <r>
      <rPr>
        <sz val="9"/>
        <color rgb="FF999999"/>
        <rFont val="Arial"/>
        <family val="0"/>
        <charset val="1"/>
      </rPr>
      <t xml:space="preserve"> **Edukirik garrantzitsuena:**</t>
    </r>
    <r>
      <rPr>
        <sz val="9"/>
        <color rgb="FF000000"/>
        <rFont val="Arial"/>
        <family val="0"/>
        <charset val="1"/>
      </rPr>
      <t xml:space="preserve"> Kutxabankek 2.116 milioi euro </t>
    </r>
    <r>
      <rPr>
        <strike val="true"/>
        <sz val="9"/>
        <color rgb="FF000000"/>
        <rFont val="Arial"/>
        <family val="0"/>
        <charset val="1"/>
      </rPr>
      <t xml:space="preserve">inbertitu</t>
    </r>
    <r>
      <rPr>
        <sz val="9"/>
        <color rgb="FF000000"/>
        <rFont val="Arial"/>
        <family val="0"/>
        <charset val="1"/>
      </rPr>
      <t xml:space="preserve"> zituen iaz jasangarritasunerako proiektuetan, nagusiki enpresen maileguetan (1.369 milioi euro) eta etxebizitza jasangarrietarako mailegu berezietan (721 milioi euro), bai eta kontsumorako kredituetan ere (25 milioi euro), energia berriztagarriak, mugikortasun jasangarria eta etxebizitza energetikoki eraginkorrak sustatzeko.
</t>
    </r>
    <r>
      <rPr>
        <sz val="9"/>
        <color rgb="FF999999"/>
        <rFont val="Arial"/>
        <family val="0"/>
        <charset val="1"/>
      </rPr>
      <t xml:space="preserve">**Laburpena:**</t>
    </r>
    <r>
      <rPr>
        <sz val="9"/>
        <color rgb="FF000000"/>
        <rFont val="Arial"/>
        <family val="0"/>
        <charset val="1"/>
      </rPr>
      <t xml:space="preserve"> Kutxabankek 2.116 milioi euro inbertitu zituen jasangarritasun-proiektuetan, enpresen eta etxebizitza jasangarrien maileguetan </t>
    </r>
    <r>
      <rPr>
        <sz val="9"/>
        <color rgb="FFFF0000"/>
        <rFont val="Arial"/>
        <family val="0"/>
        <charset val="1"/>
      </rPr>
      <t xml:space="preserve">fokutuz</t>
    </r>
    <r>
      <rPr>
        <sz val="9"/>
        <color rgb="FF000000"/>
        <rFont val="Arial"/>
        <family val="0"/>
        <charset val="1"/>
      </rPr>
      <t xml:space="preserve">, bai eta auto elektriko eta hibridoetarako kredituetan ere.</t>
    </r>
  </si>
  <si>
    <r>
      <rPr>
        <sz val="9"/>
        <color rgb="FF000000"/>
        <rFont val="Arial"/>
        <family val="0"/>
        <charset val="1"/>
      </rPr>
      <t xml:space="preserve"> **Zer:** Kutxabankek 2.116 milioi euro </t>
    </r>
    <r>
      <rPr>
        <strike val="true"/>
        <sz val="9"/>
        <color rgb="FF000000"/>
        <rFont val="Arial"/>
        <family val="0"/>
        <charset val="1"/>
      </rPr>
      <t xml:space="preserve">inbertitu</t>
    </r>
    <r>
      <rPr>
        <sz val="9"/>
        <color rgb="FF000000"/>
        <rFont val="Arial"/>
        <family val="0"/>
        <charset val="1"/>
      </rPr>
      <t xml:space="preserve"> zituen iaz jasangarritasunerako proiektuetan.
**Nork:** Kutxabank</t>
    </r>
    <r>
      <rPr>
        <sz val="9"/>
        <color rgb="FFFF0000"/>
        <rFont val="Arial"/>
        <family val="0"/>
        <charset val="1"/>
      </rPr>
      <t xml:space="preserve">e</t>
    </r>
    <r>
      <rPr>
        <sz val="9"/>
        <color rgb="FF000000"/>
        <rFont val="Arial"/>
        <family val="0"/>
        <charset val="1"/>
      </rPr>
      <t xml:space="preserve"> bankuak.
**Noiz:** Iaz (2023).
**Non:** Euskal Herrian eta, oro har, bere eragin-eremuan.
**Zergatik:** Jasangarritasun irizpideak sustatzeko eta </t>
    </r>
    <r>
      <rPr>
        <u val="single"/>
        <sz val="9"/>
        <color rgb="FF000000"/>
        <rFont val="Arial"/>
        <family val="0"/>
        <charset val="1"/>
      </rPr>
      <t xml:space="preserve">klima-aldaketaren aurkako </t>
    </r>
    <r>
      <rPr>
        <sz val="9"/>
        <color rgb="FF000000"/>
        <rFont val="Arial"/>
        <family val="0"/>
        <charset val="1"/>
      </rPr>
      <t xml:space="preserve">ekintzak bultzatzeko.
**Nola:** 
- Enpresek jasotako maileguetan (1.369 milioi euro), energia berriztagarriak, mugikortasun jasangarria eta etxebizitza energetikoki eraginkorrak </t>
    </r>
    <r>
      <rPr>
        <sz val="9"/>
        <color rgb="FFFF0000"/>
        <rFont val="Arial"/>
        <family val="0"/>
        <charset val="1"/>
      </rPr>
      <t xml:space="preserve">barne hartuz.
</t>
    </r>
    <r>
      <rPr>
        <sz val="9"/>
        <color rgb="FF000000"/>
        <rFont val="Arial"/>
        <family val="0"/>
        <charset val="1"/>
      </rPr>
      <t xml:space="preserve">- Hipoteka Berdea izeneko mailegu bereziarekin etxebizitzak erosteko, 721 milioi euro emanez eta </t>
    </r>
    <r>
      <rPr>
        <strike val="true"/>
        <sz val="9"/>
        <color rgb="FF000000"/>
        <rFont val="Arial"/>
        <family val="0"/>
        <charset val="1"/>
      </rPr>
      <t xml:space="preserve">diruaren %22</t>
    </r>
    <r>
      <rPr>
        <sz val="9"/>
        <color rgb="FF000000"/>
        <rFont val="Arial"/>
        <family val="0"/>
        <charset val="1"/>
      </rPr>
      <t xml:space="preserve"> jasangarriak diren higiezinetarako erabiliz.
- Kontsumorako kredituetan ere jasangarritasun irizpideak ezarriz, auto elektriko eta hibridoak erosteko erabiltzen direnak, </t>
    </r>
    <r>
      <rPr>
        <sz val="9"/>
        <color rgb="FFFF0000"/>
        <rFont val="Arial"/>
        <family val="0"/>
        <charset val="1"/>
      </rPr>
      <t xml:space="preserve">25 milioi eurorekin</t>
    </r>
    <r>
      <rPr>
        <sz val="9"/>
        <color rgb="FF000000"/>
        <rFont val="Arial"/>
        <family val="0"/>
        <charset val="1"/>
      </rPr>
      <t xml:space="preserve">.</t>
    </r>
  </si>
  <si>
    <r>
      <rPr>
        <sz val="9"/>
        <color rgb="FF000000"/>
        <rFont val="Arial"/>
        <family val="0"/>
        <charset val="1"/>
      </rPr>
      <t xml:space="preserve"> Kutxabankek iaz 2.116 milioi euro </t>
    </r>
    <r>
      <rPr>
        <strike val="true"/>
        <sz val="9"/>
        <color rgb="FF000000"/>
        <rFont val="Arial"/>
        <family val="0"/>
        <charset val="1"/>
      </rPr>
      <t xml:space="preserve">inbertitu</t>
    </r>
    <r>
      <rPr>
        <sz val="9"/>
        <color rgb="FF000000"/>
        <rFont val="Arial"/>
        <family val="0"/>
        <charset val="1"/>
      </rPr>
      <t xml:space="preserve"> zituen jasangarritasun-proiektuetan, gehienak enpresen maileguetan (1.369 milioi euro). Energia berriztagarriak, mugikortasun jasangarria eta etxebizitza energetikoki eraginkorrak sustatu ziren. Gainera, Hipoteka Berdea izeneko mailegu berezia jarri zuen martxan, etxebizitza jasangarriak erosteko, eta 721 milioi euro </t>
    </r>
    <r>
      <rPr>
        <sz val="9"/>
        <color rgb="FFFF0000"/>
        <rFont val="Arial"/>
        <family val="0"/>
        <charset val="1"/>
      </rPr>
      <t xml:space="preserve">emanez bezeroei</t>
    </r>
    <r>
      <rPr>
        <sz val="9"/>
        <color rgb="FF000000"/>
        <rFont val="Arial"/>
        <family val="0"/>
        <charset val="1"/>
      </rPr>
      <t xml:space="preserve">. Kontsumorako kredituetan ere jasangarritasun irizpideak aplikatu zituen, auto elektriko eta hibridoak erosteko </t>
    </r>
    <r>
      <rPr>
        <sz val="9"/>
        <color rgb="FFFF0000"/>
        <rFont val="Arial"/>
        <family val="0"/>
        <charset val="1"/>
      </rPr>
      <t xml:space="preserve">erabiliz</t>
    </r>
    <r>
      <rPr>
        <sz val="9"/>
        <color rgb="FF000000"/>
        <rFont val="Arial"/>
        <family val="0"/>
        <charset val="1"/>
      </rPr>
      <t xml:space="preserve">.</t>
    </r>
  </si>
  <si>
    <r>
      <rPr>
        <sz val="9"/>
        <color rgb="FF000000"/>
        <rFont val="Arial"/>
        <family val="0"/>
        <charset val="1"/>
      </rPr>
      <t xml:space="preserve"> Sukaldaritzako profesional eta Euskal Herriko ekoizleek elkartu dira Arkautin (Araba) Euskal Gastronomiaren Topaketaren hirugarren edizioan. 250 parte-hartzaile baino gehiagorekin, </t>
    </r>
    <r>
      <rPr>
        <sz val="9"/>
        <color rgb="FFFF0000"/>
        <rFont val="Arial"/>
        <family val="0"/>
        <charset val="1"/>
      </rPr>
      <t xml:space="preserve">egunak </t>
    </r>
    <r>
      <rPr>
        <sz val="9"/>
        <color rgb="FF000000"/>
        <rFont val="Arial"/>
        <family val="0"/>
        <charset val="1"/>
      </rPr>
      <t xml:space="preserve">gastronomia, elikagaien ekoizpena eta etorkizuneko erronkak aztertu ditu. Hitzaldiak, tailerrak eta azokak osatu dute programaren zati handia, non euskal produktuen altxorra eta sukaldaritzako talentua nabarmendu diren. Roberto Ruizek koordinatutako bazkari batek ere egin </t>
    </r>
    <r>
      <rPr>
        <sz val="9"/>
        <color rgb="FFFF0000"/>
        <rFont val="Arial"/>
        <family val="0"/>
        <charset val="1"/>
      </rPr>
      <t xml:space="preserve">du bat ekitaldiarekin</t>
    </r>
    <r>
      <rPr>
        <sz val="9"/>
        <color rgb="FF000000"/>
        <rFont val="Arial"/>
        <family val="0"/>
        <charset val="1"/>
      </rPr>
      <t xml:space="preserve">, non tradizioa eta modernitatea elkartu diren. Topaketak euskal gastronomiaren komunitatea indartu eta etorkizunari buruzko esperantza piztu du.</t>
    </r>
  </si>
  <si>
    <r>
      <rPr>
        <sz val="9"/>
        <color rgb="FF000000"/>
        <rFont val="Arial"/>
        <family val="0"/>
        <charset val="1"/>
      </rPr>
      <t xml:space="preserve"> **Euskal Gastronomiaren Topaketaren hirugarren edizioa Arkautin ospatu da, sukaldaritzako eta ekoizleko 250 profesional baino gehiago elkartuz. Ekitaldiak gastronomia sektorearen etorkizunari buruzko gogoetak eta elkarlana sustatu ditu, hitzaldiak, tailerrak eta azokak barne. Ekoizleek eta sukaldariek elkarren beharra azpimarratu dute, eta produktu lokal eta berrien erabilera goraipatu da. Roberto Ruizek koordinatutako </t>
    </r>
    <r>
      <rPr>
        <strike val="true"/>
        <sz val="9"/>
        <color rgb="FF000000"/>
        <rFont val="Arial"/>
        <family val="0"/>
        <charset val="1"/>
      </rPr>
      <t xml:space="preserve">bazkariak tradizioa eta modernitatea uztartu ditu</t>
    </r>
    <r>
      <rPr>
        <sz val="9"/>
        <color rgb="FF000000"/>
        <rFont val="Arial"/>
        <family val="0"/>
        <charset val="1"/>
      </rPr>
      <t xml:space="preserve">, eta </t>
    </r>
    <r>
      <rPr>
        <strike val="true"/>
        <sz val="9"/>
        <color rgb="FF000000"/>
        <rFont val="Arial"/>
        <family val="0"/>
        <charset val="1"/>
      </rPr>
      <t xml:space="preserve">etorkizun oparoa iragarri du</t>
    </r>
    <r>
      <rPr>
        <sz val="9"/>
        <color rgb="FF000000"/>
        <rFont val="Arial"/>
        <family val="0"/>
        <charset val="1"/>
      </rPr>
      <t xml:space="preserve"> Euskal gastronomiarentzat.**</t>
    </r>
  </si>
  <si>
    <r>
      <rPr>
        <sz val="9"/>
        <color rgb="FF000000"/>
        <rFont val="Arial"/>
        <family val="0"/>
        <charset val="1"/>
      </rPr>
      <t xml:space="preserve"> **Zer:** Euskal Gastronomiaren Topaketaren hirugarren edizioa ospatu da Arkautin (Araba), sukaldaritzako profesionalak eta ekoizleak elkartuz.
**Nork:** 250 sukaldaritzako profesional baino gehiago </t>
    </r>
    <r>
      <rPr>
        <sz val="9"/>
        <color rgb="FFFF0000"/>
        <rFont val="Arial"/>
        <family val="0"/>
        <charset val="1"/>
      </rPr>
      <t xml:space="preserve">eta Euskal Herriko ekoizleak</t>
    </r>
    <r>
      <rPr>
        <sz val="9"/>
        <color rgb="FF000000"/>
        <rFont val="Arial"/>
        <family val="0"/>
        <charset val="1"/>
      </rPr>
      <t xml:space="preserve"> parte hartu dute.
**Noiz:** Topaketa gaur egun ospatu da, zehazki ez da data zehatza ematen testuan.
**Non:** Arkautiko (Araba) Nekazaritzako Elikagaien campusan gertatu da ekitaldia.
**Zergatik:** Euskal gastronomia sektorea batu, etorkizunari buruzko gogoeta egitea eta Arabako jakien altxorrak eta sukaldeetan irakiten dagoen talentua aldarrikatzea helburu ditu.
**Nola:** Gosari batekin hasi ondoren, hitzaldiak, tailerrak, kultur emanaldiak eta gastronomia azoka antolatu dira. Sukaldariek eta ekoizleek elkarrekin hartu-emana egin dute, eta pintxo berritzaileak eta produktu lokalak dastatu dira.</t>
    </r>
  </si>
  <si>
    <t xml:space="preserve"> Euskal Gastronomiaren Topaketaren hirugarren edizioa Arkautin (Araba) ospatu da, non 250 sukaldaritzako profesional eta ekoizle elkartu diren euskal gastronomiaren etorkizuna aztertzeko eta sustatzeko. Ekitaldian hitzaldiak, tailerrak eta azokak izan dira, eta euskal produktuen altxorra eta sukaldaritzako talentua nabarmendu dira. Sukaldariek eta ekoizleek elkarrekin lan egiteko beharra azpimarratu dute, eta etorkizun oparoa iragarri dute euskal sukaldaritzarentzat.
</t>
  </si>
  <si>
    <r>
      <rPr>
        <sz val="9"/>
        <color rgb="FF000000"/>
        <rFont val="Arial"/>
        <family val="0"/>
        <charset val="1"/>
      </rPr>
      <t xml:space="preserve"> OCHAren arabera, 2024 urtea "beltza" izango da alor humanitarioan, gatazkak, klima aldaketak eta ekonomia egoerak okerrera egin duelako. 43.000 milioi euroko finantzaketa eskatu dute, baina aurreikusitakoaren herena baino gutxiago jaso dute 2023an. 299,4 milioi pertsonak behar dute laguntza, batez ere Ekialde Hurbilean, Ukrainan eta Sudanen. Finantzaketa falta dela eta, laguntza sistemak erronka handiak dituzte, eta gosete, aterpe falta eta osasun arazoak areagotzen ari dira. Hala ere, zenbait herrialdek egoera hobetzen ari </t>
    </r>
    <r>
      <rPr>
        <sz val="9"/>
        <color rgb="FFFF0000"/>
        <rFont val="Arial"/>
        <family val="0"/>
        <charset val="1"/>
      </rPr>
      <t xml:space="preserve">dira</t>
    </r>
    <r>
      <rPr>
        <sz val="9"/>
        <color rgb="FF000000"/>
        <rFont val="Arial"/>
        <family val="0"/>
        <charset val="1"/>
      </rPr>
      <t xml:space="preserve"> eta </t>
    </r>
    <r>
      <rPr>
        <sz val="9"/>
        <color rgb="FFFF0000"/>
        <rFont val="Arial"/>
        <family val="0"/>
        <charset val="1"/>
      </rPr>
      <t xml:space="preserve">laguntza beharra</t>
    </r>
    <r>
      <rPr>
        <sz val="9"/>
        <color rgb="FF000000"/>
        <rFont val="Arial"/>
        <family val="0"/>
        <charset val="1"/>
      </rPr>
      <t xml:space="preserve"> murrizten ari da.</t>
    </r>
  </si>
  <si>
    <r>
      <rPr>
        <sz val="9"/>
        <color rgb="FFB7B7B7"/>
        <rFont val="Arial"/>
        <family val="0"/>
        <charset val="1"/>
      </rPr>
      <t xml:space="preserve"> **Edukirik Garrantzitsuena:**
</t>
    </r>
    <r>
      <rPr>
        <sz val="9"/>
        <color rgb="FF000000"/>
        <rFont val="Arial"/>
        <family val="0"/>
        <charset val="1"/>
      </rPr>
      <t xml:space="preserve">
2024an, alor humanitarioak aurre egin beharko dio "beltza" izango den urte bati, krisien kopurua eta eskala handitzen ari direlako eta laguntzarako beharra areagotzen </t>
    </r>
    <r>
      <rPr>
        <sz val="9"/>
        <color rgb="FFFF0000"/>
        <rFont val="Arial"/>
        <family val="0"/>
        <charset val="1"/>
      </rPr>
      <t xml:space="preserve">dela</t>
    </r>
    <r>
      <rPr>
        <sz val="9"/>
        <color rgb="FF000000"/>
        <rFont val="Arial"/>
        <family val="0"/>
        <charset val="1"/>
      </rPr>
      <t xml:space="preserve">. OCHAren arabera, 299,4 milioi pertsonak behar dute laguntza, batez ere Ekialde Hurbilean, Ukrainan eta Sudanen. Nazioarteari 43.000 milioi euro eskatu zaizkio, baina aurreikusitako funtsa </t>
    </r>
    <r>
      <rPr>
        <strike val="true"/>
        <sz val="9"/>
        <color rgb="FF000000"/>
        <rFont val="Arial"/>
        <family val="0"/>
        <charset val="1"/>
      </rPr>
      <t xml:space="preserve">ez da lortuko</t>
    </r>
    <r>
      <rPr>
        <sz val="9"/>
        <color rgb="FF000000"/>
        <rFont val="Arial"/>
        <family val="0"/>
        <charset val="1"/>
      </rPr>
      <t xml:space="preserve">, herrialde emaileek zailtasun ekonomikoak dituztelako. Aurten, beharrezko tresnak eta baliabideak falta direla eta, l</t>
    </r>
    <r>
      <rPr>
        <strike val="true"/>
        <sz val="9"/>
        <color rgb="FF000000"/>
        <rFont val="Arial"/>
        <family val="0"/>
        <charset val="1"/>
      </rPr>
      <t xml:space="preserve">aguntza eskuragarri dagoena </t>
    </r>
    <r>
      <rPr>
        <sz val="9"/>
        <color rgb="FF000000"/>
        <rFont val="Arial"/>
        <family val="0"/>
        <charset val="1"/>
      </rPr>
      <t xml:space="preserve">%62 besterik ez da, iazko %79tik behera. Hala ere, zenbait herrialdek egoera hobetzen ari dira eta ez dagoela beharrezkoa laguntza humanitarioa.
</t>
    </r>
    <r>
      <rPr>
        <sz val="9"/>
        <color rgb="FFB7B7B7"/>
        <rFont val="Arial"/>
        <family val="0"/>
        <charset val="1"/>
      </rPr>
      <t xml:space="preserve">**Laburpena:**
</t>
    </r>
    <r>
      <rPr>
        <sz val="9"/>
        <color rgb="FF000000"/>
        <rFont val="Arial"/>
        <family val="0"/>
        <charset val="1"/>
      </rPr>
      <t xml:space="preserve">
2024an, krisi humanitarioen ondorioz, 299,4 milioi pertsonak behar dute laguntza, batez ere gatazka-eremuetan. OCHAk 43.000 milioi euro eskatu ditu, baina finantzaketa nahikorik ez dago, eta aurten </t>
    </r>
    <r>
      <rPr>
        <strike val="true"/>
        <sz val="9"/>
        <color rgb="FF000000"/>
        <rFont val="Arial"/>
        <family val="0"/>
        <charset val="1"/>
      </rPr>
      <t xml:space="preserve">eskuragarri dagoen laguntza</t>
    </r>
    <r>
      <rPr>
        <sz val="9"/>
        <color rgb="FF000000"/>
        <rFont val="Arial"/>
        <family val="0"/>
        <charset val="1"/>
      </rPr>
      <t xml:space="preserve"> %62 besterik ez da. Hala ere, zenbait </t>
    </r>
    <r>
      <rPr>
        <sz val="9"/>
        <color rgb="FFFF0000"/>
        <rFont val="Arial"/>
        <family val="0"/>
        <charset val="1"/>
      </rPr>
      <t xml:space="preserve">herrialdek egoera hobetzen ari dira.</t>
    </r>
  </si>
  <si>
    <r>
      <rPr>
        <sz val="9"/>
        <color rgb="FF000000"/>
        <rFont val="Arial"/>
        <family val="0"/>
        <charset val="1"/>
      </rPr>
      <t xml:space="preserve"> **Zer:** OCHA Gai Humanitarioak Koordinatzeko Nazio Batuen Bulegoak 2024ko urteari "beltza" </t>
    </r>
    <r>
      <rPr>
        <strike val="true"/>
        <sz val="9"/>
        <color rgb="FF000000"/>
        <rFont val="Arial"/>
        <family val="0"/>
        <charset val="1"/>
      </rPr>
      <t xml:space="preserve">izena eman dio</t>
    </r>
    <r>
      <rPr>
        <sz val="9"/>
        <color rgb="FF000000"/>
        <rFont val="Arial"/>
        <family val="0"/>
        <charset val="1"/>
      </rPr>
      <t xml:space="preserve">, krisien kopuru eta eskala handitzen ari direlako eta laguntzarako beharra areagotzen ari delako.
**Nork:** Martin Griffiths, NBE Nazio Batuen Erakundearen Giza Gaietarako idazkariorde nagusi eta Larrialdi Laguntzako koordinatzailea.
**Noiz:** 2024 urtea, baina aipamena 2023ko abenduan egin zen.
**Non:** Mundu osoko hainbat lekutan, baina bereziki Ekialde Hurbilean (Palestina, Siria), Ukrainan eta Sudanen.
**Zergatik:** Krisien areagotzea (gerrak, klima larrialdiak, egoera ekonomiko txarrak), eta horrek eragindako behar humanitario handiagoa, baina finantzaketa eskasa.
**Nola:** OCHAk 43.000 milioi euroko laguntza eskatu die nazioarteari, eta laburbildutako txosten baten bidez adierazi du 299,4 milioi pertsonak behar dutela laguntza humanitarioa 2024an. Hala ere, aurreikusitako funtsa baino gutxiago jaso dute, eta horrek eragin du laguntza eskaintza murriztea.</t>
    </r>
  </si>
  <si>
    <r>
      <rPr>
        <sz val="9"/>
        <color rgb="FFB7B7B7"/>
        <rFont val="Arial"/>
        <family val="0"/>
        <charset val="1"/>
      </rPr>
      <t xml:space="preserve"> **Laburpena:**
</t>
    </r>
    <r>
      <rPr>
        <sz val="9"/>
        <color rgb="FF000000"/>
        <rFont val="Arial"/>
        <family val="0"/>
        <charset val="1"/>
      </rPr>
      <t xml:space="preserve">
Nazio Batuen Giza Gaietarako idazkariorde nagusi eta Larrialdi Laguntzako koordinatzaile Martin Griffithsek 2024rako 43.000 milioi euroko laguntza finantzarioa eskatu du, urte horretan 299,4 milioi pertsonak behar izango dutelako laguntza humanitarioa, batez ere gatazka-eremuetan. OCHAren arabera, datorren urtea "beltza" izango da alor humanitarioari dagokionez, krisien kopurua eta eskala handitzen ari direlako, eta finantzaketa krisi larria dagoelako.
Aurten, beharrezko diruaren herena </t>
    </r>
    <r>
      <rPr>
        <strike val="true"/>
        <sz val="9"/>
        <color rgb="FF000000"/>
        <rFont val="Arial"/>
        <family val="0"/>
        <charset val="1"/>
      </rPr>
      <t xml:space="preserve">baino gutxiago</t>
    </r>
    <r>
      <rPr>
        <sz val="9"/>
        <color rgb="FF000000"/>
        <rFont val="Arial"/>
        <family val="0"/>
        <charset val="1"/>
      </rPr>
      <t xml:space="preserve"> jaso da, eta horrek eragin du laguntza programak murriztea eta milaka pertsona gosete, etxebizitza falta eta osasun-arazoetan </t>
    </r>
    <r>
      <rPr>
        <sz val="9"/>
        <color rgb="FFFF0000"/>
        <rFont val="Arial"/>
        <family val="0"/>
        <charset val="1"/>
      </rPr>
      <t xml:space="preserve">utzi dituela</t>
    </r>
    <r>
      <rPr>
        <sz val="9"/>
        <color rgb="FF000000"/>
        <rFont val="Arial"/>
        <family val="0"/>
        <charset val="1"/>
      </rPr>
      <t xml:space="preserve">. Hala ere, txostenak adierazten du zenbait herrialde</t>
    </r>
    <r>
      <rPr>
        <sz val="9"/>
        <color rgb="FFFF0000"/>
        <rFont val="Arial"/>
        <family val="0"/>
        <charset val="1"/>
      </rPr>
      <t xml:space="preserve">k</t>
    </r>
    <r>
      <rPr>
        <sz val="9"/>
        <color rgb="FF000000"/>
        <rFont val="Arial"/>
        <family val="0"/>
        <charset val="1"/>
      </rPr>
      <t xml:space="preserve"> egoera hobetzen ari dela eta ez direla </t>
    </r>
    <r>
      <rPr>
        <sz val="9"/>
        <color rgb="FFFF0000"/>
        <rFont val="Arial"/>
        <family val="0"/>
        <charset val="1"/>
      </rPr>
      <t xml:space="preserve">beharrezko laguntzaren </t>
    </r>
    <r>
      <rPr>
        <sz val="9"/>
        <color rgb="FF000000"/>
        <rFont val="Arial"/>
        <family val="0"/>
        <charset val="1"/>
      </rPr>
      <t xml:space="preserve">zerrendan.
Griffithsek azpimarratu du beharrezkoa dela herrialde emaileek diru gehiago inbertitzea, bestela jende askok bere bizitzarekin ordainduko duela. 2024rako eskatutako diru kopurua "masiboa" dela aitortu du, baina beharrezkoa dela uste du egoera larriak </t>
    </r>
    <r>
      <rPr>
        <sz val="9"/>
        <color rgb="FFFF0000"/>
        <rFont val="Arial"/>
        <family val="0"/>
        <charset val="1"/>
      </rPr>
      <t xml:space="preserve">aurrezteko</t>
    </r>
    <r>
      <rPr>
        <sz val="9"/>
        <color rgb="FF000000"/>
        <rFont val="Arial"/>
        <family val="0"/>
        <charset val="1"/>
      </rPr>
      <t xml:space="preserve">.</t>
    </r>
  </si>
  <si>
    <r>
      <rPr>
        <sz val="9"/>
        <color rgb="FF000000"/>
        <rFont val="Arial"/>
        <family val="0"/>
        <charset val="1"/>
      </rPr>
      <t xml:space="preserve"> Oihane Jaka Irizarrek "Itsaso amniotikoa" poema liburua idatzi du, Karmele Igartuaren sormen beka baliatuz. Liburua hiru zatitan banatuta dago, eta ama izatearen, </t>
    </r>
    <r>
      <rPr>
        <strike val="true"/>
        <sz val="9"/>
        <color rgb="FF000000"/>
        <rFont val="Arial"/>
        <family val="0"/>
        <charset val="1"/>
      </rPr>
      <t xml:space="preserve">senar-emazteen harremanaren</t>
    </r>
    <r>
      <rPr>
        <sz val="9"/>
        <color rgb="FF000000"/>
        <rFont val="Arial"/>
        <family val="0"/>
        <charset val="1"/>
      </rPr>
      <t xml:space="preserve"> eta galeren inguruko gaiak jorratzen ditu. Hizkuntzaren minimalismoa eta metaforak, hala nola zuhaitza eta matrioxka, erabiltzen ditu. Tere Irastorzak </t>
    </r>
    <r>
      <rPr>
        <sz val="9"/>
        <color rgb="FFFF0000"/>
        <rFont val="Arial"/>
        <family val="0"/>
        <charset val="1"/>
      </rPr>
      <t xml:space="preserve">Jaka-ren</t>
    </r>
    <r>
      <rPr>
        <sz val="9"/>
        <color rgb="FF000000"/>
        <rFont val="Arial"/>
        <family val="0"/>
        <charset val="1"/>
      </rPr>
      <t xml:space="preserve"> </t>
    </r>
    <r>
      <rPr>
        <strike val="true"/>
        <sz val="9"/>
        <color rgb="FF000000"/>
        <rFont val="Arial"/>
        <family val="0"/>
        <charset val="1"/>
      </rPr>
      <t xml:space="preserve">lanaren originaltasuna</t>
    </r>
    <r>
      <rPr>
        <sz val="9"/>
        <color rgb="FF000000"/>
        <rFont val="Arial"/>
        <family val="0"/>
        <charset val="1"/>
      </rPr>
      <t xml:space="preserve"> eta hizkuntzaren jokoa aipatu ditu. Liburuak ama izatearen prozesua eta bizitzako trantsizioak islatzen ditu, eta Karmele Igartuaren ideia bat aipatzen du: amaiera on batek hasiera berri bat ekartzen duela.</t>
    </r>
  </si>
  <si>
    <r>
      <rPr>
        <sz val="9"/>
        <color rgb="FFB7B7B7"/>
        <rFont val="Arial"/>
        <family val="0"/>
        <charset val="1"/>
      </rPr>
      <t xml:space="preserve"> **Itsaso Amniotikoa poema liburuaren edukirik garrantzitsuena: Ama izatearen esperientzia, galera eta bizitzaren transizioak aztertzea, hizkuntza minimalismoaren eta metaforen bidez.**
</t>
    </r>
    <r>
      <rPr>
        <sz val="9"/>
        <color rgb="FF000000"/>
        <rFont val="Arial"/>
        <family val="0"/>
        <charset val="1"/>
      </rPr>
      <t xml:space="preserve">
Laburbilduz, Oihane Jaka Irizarrek idatzitako "Itsaso Amniotikoa" poema liburuak ama izatearen, galera pertsonalen eta bizitzaren transizioen inguruko hausnarketa sakona eskaintzen du. Hiru zatitan antolatuta dago, bakoitza bizitzaren une desberdin bati buruzkoa: 11 urte, 11 hilabete eta 11 egun. Liburuak hizkuntza minimalista eta metaforak erabiltzen ditu, hala nola zuhaitzaren adarra eta matrioxka, esperientzia pertsonalak eta unibertsalak adierazteko. Ama izatearen ikuspegitik abiatuta, liburuak ere aita galdu izanaren eragina eta ondorengo belaunaldien arteko harremanak jorratzen ditu. Tere Irastorzaren arabera, </t>
    </r>
    <r>
      <rPr>
        <strike val="true"/>
        <sz val="9"/>
        <color rgb="FF000000"/>
        <rFont val="Arial"/>
        <family val="0"/>
        <charset val="1"/>
      </rPr>
      <t xml:space="preserve">liburuak amaiera baten hasiera adierazten du,</t>
    </r>
    <r>
      <rPr>
        <sz val="9"/>
        <color rgb="FF000000"/>
        <rFont val="Arial"/>
        <family val="0"/>
        <charset val="1"/>
      </rPr>
      <t xml:space="preserve"> Oihane Jakaren idazketa eta sormen prozesu berri baten hasiera markatuz.</t>
    </r>
  </si>
  <si>
    <t xml:space="preserve"> **Zer:** Itsaso amniotikoa poema liburua.
**Nork:** Oihane Jaka Irizarrek idatzia, Tere Irastorzak lagunduta.
**Noiz:** 2022ko abenduan sormen beka jaso ondoren urtebeteko epean osatua.
**Non:** Aretxabaletako Udalak eta Idazle Eskolak antolatutako ekitaldian hasita.
**Zergatik:** Sormen beka irabazi ondoren, amatasunaren eta bizitzaren inguruko gaiak jorratzeko.
**Nola:** Minimalismoaren bidez, hizkuntza sinple eta pentsamendu hazien erabilera erabiliz, hiru zatitan antolatuta: 11 urte, 11 hilabete eta 11 egun. Zuhaitzaren eta matrioxkaren metaforak erabiliz.
Liburuak amatasunaren, galderen eta bizitzaren transizioen inguruko hausnarketa sakona eskaintzen du, Oihane Jakaren esperientzia pertsonalak eta ikuspegia islatuz. Tere Irastorzaren laguntzarekin, poema liburuak amaiera on bat hasiera bat bezala ikusten duen Karmele Igartuaren ideia islatzen du, Oihane Jaka berriro ere idazten eta sortzen hasteko prozesuan jarriz.
</t>
  </si>
  <si>
    <r>
      <rPr>
        <sz val="9"/>
        <color rgb="FF000000"/>
        <rFont val="Arial"/>
        <family val="0"/>
        <charset val="1"/>
      </rPr>
      <t xml:space="preserve"> Oihane Jaka Irizarrek "Itsaso Amniotikoa" poema liburua idatzi du, Karmele Igartuaren sormen beka baliatuz. Liburuak </t>
    </r>
    <r>
      <rPr>
        <strike val="true"/>
        <sz val="9"/>
        <color rgb="FF000000"/>
        <rFont val="Arial"/>
        <family val="0"/>
        <charset val="1"/>
      </rPr>
      <t xml:space="preserve">hiru zatitan banatzen du ama izatearen esperientzia</t>
    </r>
    <r>
      <rPr>
        <sz val="9"/>
        <color rgb="FF000000"/>
        <rFont val="Arial"/>
        <family val="0"/>
        <charset val="1"/>
      </rPr>
      <t xml:space="preserve">, 11 urte, 11 hilabete eta 11 eguneko epeetan. Hizkuntzaren minimalismoa eta metaforak, hala nola zuhaitza eta matrioxka, erabiltzen ditu gaiak jorratzeko, hala nola heriotza, haurdunaldia eta ama izatearen transizioak. Liburuak Oihane Jakaren pertsonalitatearen eta bizitzaren ikuspegitik abiatzen da,</t>
    </r>
    <r>
      <rPr>
        <strike val="true"/>
        <sz val="9"/>
        <color rgb="FF000000"/>
        <rFont val="Arial"/>
        <family val="0"/>
        <charset val="1"/>
      </rPr>
      <t xml:space="preserve"> baina unibertsalak diren gaiak</t>
    </r>
    <r>
      <rPr>
        <sz val="9"/>
        <color rgb="FF000000"/>
        <rFont val="Arial"/>
        <family val="0"/>
        <charset val="1"/>
      </rPr>
      <t xml:space="preserve"> jorratzen ditu. Tere Irastorzak, poeta eta irakasleak, Jakaren lanaren garapenean lagundu du eta bere eboluzioa positiboki baloratu du.</t>
    </r>
  </si>
  <si>
    <r>
      <rPr>
        <sz val="9"/>
        <color rgb="FF000000"/>
        <rFont val="Arial"/>
        <family val="0"/>
        <charset val="1"/>
      </rPr>
      <t xml:space="preserve"> Iruñeko Alde Zaharrean, San Frantzisko plazan eta inguruetan, pintaketa faxistak egin dituzte, </t>
    </r>
    <r>
      <rPr>
        <sz val="9"/>
        <color rgb="FFFF0000"/>
        <rFont val="Arial"/>
        <family val="0"/>
        <charset val="1"/>
      </rPr>
      <t xml:space="preserve">nagusiki</t>
    </r>
    <r>
      <rPr>
        <sz val="9"/>
        <color rgb="FF000000"/>
        <rFont val="Arial"/>
        <family val="0"/>
        <charset val="1"/>
      </rPr>
      <t xml:space="preserve"> Erorien Monumentuaren aldeko mezuak barne. Azken asteetako protesten erantzun gisa, svastikak, Daviden izarrak eta beste ikur faxista batzuk ere margotu dituzte. Gainera, EH Bilduren egoitzaren kanpoaldean ere ikur faxista batzuk margotu dituzte, eta EH Bilduk salatu egin ditu ekintza hauek, bizikidetza eta memoria demokratikoarekin duen konpromisoa azpimarratuz.</t>
    </r>
  </si>
  <si>
    <t xml:space="preserve"> **Edukirik garrantzitsuena:** Iruñeko Alde Zaharrean eta EH Bilduren egoitzan pintaketa faxistak egin dira, San Frantzisko plazan eta inguruetan, batez ere Erorien Monumentuari buruzko mezuak eta ikur faxistak erabiliz. Protesten ondoriozko erantzun gisa interpretatzen dira, eta EH Bilduk salatu eta bizikidetza eta memoria demokratikoarekiko konpromisoa adierazi du.
**Laburpena:** Iruñean pintaketa faxistak egin dira Alde Zaharrean eta EH Bilduren egoitzan, Erorien Monumentuari eta beste ikur demokratiko batzuei erreferentzia eginez. EH Bilduk salatu eta bizikidetza demokratikoaren aldeko konpromisoa agertu du.
</t>
  </si>
  <si>
    <r>
      <rPr>
        <sz val="9"/>
        <color rgb="FF000000"/>
        <rFont val="Arial"/>
        <family val="0"/>
        <charset val="1"/>
      </rPr>
      <t xml:space="preserve"> **Zer:** Pintaketa faxistak egin dituzte Iruñeko Alde Zaharrean, San Frantzisko plazan eta EH Bilduren egoitzan, eroriak ez dira ukitzen eta beste mezu faxista batzuekin.
**Nork:** Faxista talde ezezagunek egin dituzte pintaketak.
**Noiz:** Bart gauean.
**Non:** Iruñeko Alde Zaharrean, San Frantzisko plazan eta EH Bilduren egoitzan.
**Zergatik:** Azken asteetako protesten erantzun gisa, monumentu bat eraitsi dezatela eskatzen duten protesten aurrean.
**Nola:** </t>
    </r>
    <r>
      <rPr>
        <sz val="9"/>
        <color rgb="FFFF0000"/>
        <rFont val="Arial"/>
        <family val="0"/>
        <charset val="1"/>
      </rPr>
      <t xml:space="preserve">Margotuz</t>
    </r>
    <r>
      <rPr>
        <sz val="9"/>
        <color rgb="FF000000"/>
        <rFont val="Arial"/>
        <family val="0"/>
        <charset val="1"/>
      </rPr>
      <t xml:space="preserve">, svastikak, Daviden izarrak eta beste ikur faxista batzuk erabiliz.
EH Bilduk salatu eta konpromisoa adierazi du bizikidetza eta memoria demokratikoarekin.</t>
    </r>
  </si>
  <si>
    <r>
      <rPr>
        <sz val="9"/>
        <color rgb="FF000000"/>
        <rFont val="Arial"/>
        <family val="0"/>
        <charset val="1"/>
      </rPr>
      <t xml:space="preserve"> Iruñeko Alde Zaharrean, San Frantzisko plazan eta inguruetan, pintaketa faxistak egin dira, </t>
    </r>
    <r>
      <rPr>
        <sz val="9"/>
        <color rgb="FFFF0000"/>
        <rFont val="Arial"/>
        <family val="0"/>
        <charset val="1"/>
      </rPr>
      <t xml:space="preserve">batez ere</t>
    </r>
    <r>
      <rPr>
        <sz val="9"/>
        <color rgb="FF000000"/>
        <rFont val="Arial"/>
        <family val="0"/>
        <charset val="1"/>
      </rPr>
      <t xml:space="preserve"> Erorien Monumentuaren aldeko mezuak barne. Azken asteetako protesten ondoren, </t>
    </r>
    <r>
      <rPr>
        <sz val="9"/>
        <color rgb="FFFF0000"/>
        <rFont val="Arial"/>
        <family val="0"/>
        <charset val="1"/>
      </rPr>
      <t xml:space="preserve">monumentua eraitsi dezatela eskatuz</t>
    </r>
    <r>
      <rPr>
        <sz val="9"/>
        <color rgb="FF000000"/>
        <rFont val="Arial"/>
        <family val="0"/>
        <charset val="1"/>
      </rPr>
      <t xml:space="preserve">, faxistek erantzun egin dute "Los caidos no se tocan" eta beste mezu faxista batzuekin, svastikak eta Daviden izarrak ere margotuz. Gainera, EH Bilduren egoitzan ere ikur faxista batzuk margotu dira. EH Bilduk salatu </t>
    </r>
    <r>
      <rPr>
        <sz val="9"/>
        <color rgb="FFFF0000"/>
        <rFont val="Arial"/>
        <family val="0"/>
        <charset val="1"/>
      </rPr>
      <t xml:space="preserve">egin</t>
    </r>
    <r>
      <rPr>
        <sz val="9"/>
        <color rgb="FF000000"/>
        <rFont val="Arial"/>
        <family val="0"/>
        <charset val="1"/>
      </rPr>
      <t xml:space="preserve"> ditu ekintza hauek eta bere konpromisoa adierazi du bizikidetza eta memoria demokratikoarekin.</t>
    </r>
  </si>
  <si>
    <r>
      <rPr>
        <sz val="9"/>
        <color rgb="FF000000"/>
        <rFont val="Arial"/>
        <family val="0"/>
        <charset val="1"/>
      </rPr>
      <t xml:space="preserve"> Europako industria eolikoko hiru handienak (Siemens Gamesa, Vestas eta Nordex) galera handiak jasan dituzte, baina Europako Batzordeak laguntza ekonomikoak eta neurriak iragarri ditu sektorea indartzeko. Kadri Simson Energia komisarioaren arabera, sektoreak berriztagarrien hedapenean funtsezko rola jokatu behar du, eta laguntza planak eta tramiteen arintzea proposatu ditu. Siemens Gamesarentzat, ordea, laguntza planak berandu etorri dira, eta langileen artean kezka handia dago.
Batzordeak ere aipatu du ekoizleak inflazio eta lehengaien garestitzearen aurrean babestu behar direla, batez ere Asiako lehiakideen (Txina) aurrean, zeintzuek estatuaren laguntza jasotzen duten eta prezio merkeagoak eskaintzen dituzten enkanteetan. Horregatik, enkanteen diseinua hobetu eta irizpide berriak ezarri nahi ditu, hala nola </t>
    </r>
    <r>
      <rPr>
        <sz val="9"/>
        <color rgb="FFFF0000"/>
        <rFont val="Arial"/>
        <family val="0"/>
        <charset val="1"/>
      </rPr>
      <t xml:space="preserve">iraunkortasuna eta segurtasun zibernetikoa.
</t>
    </r>
    <r>
      <rPr>
        <sz val="9"/>
        <color rgb="FF000000"/>
        <rFont val="Arial"/>
        <family val="0"/>
        <charset val="1"/>
      </rPr>
      <t xml:space="preserve">
Gainera, Bruselak atzerriko lehiakideen merkataritza praktika bidegabeak zaintzeko asmoa du eta EIBk bermeak handituko ditu sektorea</t>
    </r>
    <r>
      <rPr>
        <sz val="9"/>
        <color rgb="FFFF0000"/>
        <rFont val="Arial"/>
        <family val="0"/>
        <charset val="1"/>
      </rPr>
      <t xml:space="preserve">k</t>
    </r>
    <r>
      <rPr>
        <sz val="9"/>
        <color rgb="FF000000"/>
        <rFont val="Arial"/>
        <family val="0"/>
        <charset val="1"/>
      </rPr>
      <t xml:space="preserve"> mailegu hobetuetara iristeko. Teknologia berdeen proiektuentzat diru-laguntza berriak ere jarriko ditu.
Proiektuen tramitazioaren arazoak ere aipatu ditu Batzordeak, eta horiek azkartzeko Accelere-RES programa eta online erreminta bat jaurtiko ditu. Itsasoko proiektu eolikoak ere bizkortu nahi ditu, energia iturrien nahasketarako beharrezkoak direlako.
Azkenik, Europako eoliko sektoreak gaur egun %16ko energia kontsumoa du, eta 300.000 enplegu kualifikatu sortu ditu, beraz, indartzeak ekonomiari eta ingurumenari onura handiak ekar ditzake.</t>
    </r>
  </si>
  <si>
    <t xml:space="preserve"> **Edukirik Garrantzitsuena:**
Europako industria eolikoko hiru handienak (Siemens Gamesa, Vestas eta Nordex) galera handiak jasaten ari dira, baina Europako Batzordeak laguntza ekonomikoak eta neurri antolakuntzakoak iragarri ditu sektorea indartzeko. Batzordeak enkanteen diseinua hobetu, merkataritza praktika desegokiak zaintzi eta EIBren bidez finantzaketa hobetu nahi du. Gainera, baimen-prozesuak azkartu eta itsasoko eoliko proiektuen garapena bultzatuko du, energia berriztagarrien kontsumoa handitzeko eta deskarbonizazio helburuak lortzeko.
**Laburpena:**
Europako Batzordeak industria eolikoa laguntzeko neurriak onartu ditu, hala nola laguntza ekonomikoak, enkanteen erreformak, merkataritza-praktika desegokiak zaintzea eta baimen-prozesuen azkartzea, sektorea indartzeko eta energia berriztagarrien kontsumoa handitzeko asmoz.</t>
  </si>
  <si>
    <r>
      <rPr>
        <sz val="9"/>
        <color rgb="FF000000"/>
        <rFont val="Arial"/>
        <family val="0"/>
        <charset val="1"/>
      </rPr>
      <t xml:space="preserve"> **Zer:** Europako industria eolikoko hiru handien (Siemens Gamesa, Vestas eta Nordex) galera ekonomikoak arintzeko eta sektorea indartzeko, Europako Batzordeak laguntza ekonomikoak eta neurri antolakuntzazkoak iragarri ditu.
**Nork:** Europako Batzordea, bereziki Energia komisarioa den Kadri Simson</t>
    </r>
    <r>
      <rPr>
        <sz val="9"/>
        <color rgb="FFFF0000"/>
        <rFont val="Arial"/>
        <family val="0"/>
        <charset val="1"/>
      </rPr>
      <t xml:space="preserve">-ek</t>
    </r>
    <r>
      <rPr>
        <sz val="9"/>
        <color rgb="FF000000"/>
        <rFont val="Arial"/>
        <family val="0"/>
        <charset val="1"/>
      </rPr>
      <t xml:space="preserve"> gidatuta.
**Noiz:** Azaroaren 21ean aurkeztuko da Siemens Gamesaren bideragarritasun plana, eta martxorako espero da gida antolakuntzazkoa abian jartzea.
**Non:** Europar Batasunean, bereziki Hego Euskal Herrian Siemens Gamesak duen presentziarekin lotuta.
**Zergatik:** Industria eolikoak aurre egin behar </t>
    </r>
    <r>
      <rPr>
        <sz val="9"/>
        <color rgb="FFFF0000"/>
        <rFont val="Arial"/>
        <family val="0"/>
        <charset val="1"/>
      </rPr>
      <t xml:space="preserve">dio</t>
    </r>
    <r>
      <rPr>
        <sz val="9"/>
        <color rgb="FF000000"/>
        <rFont val="Arial"/>
        <family val="0"/>
        <charset val="1"/>
      </rPr>
      <t xml:space="preserve"> inflazioari, lehengaien garestitzei eta Asiako, batez ere Txinako, lehiakideen abantaila ekonomiko eta estatuko finantzazioari. Gainera, proiektuen tramitazio luzeek eta ziurgabetasunek sektorearen hazkundea oztopatzen dute.
**Nola:** 
- Laguntza ekonomikoak ematea proiektuak aurrera eramateko.
- Enkanteen diseinua hobetzea, prezioaren gainetik beste irizpide batzuk kontuan hartuz.
- Merkataritza praktika desleialak zaintzea eta erantzukizunak hartzea beharrezkoa bada.
- EIBren bidez mailegu baldintza hobetuak eskaintzea.
- Proiektuen tramitazioa azkartzea Accelere-RES programaren bidez eta online erreminta berriak jarriz.
- Itsasoko eoliko proiektuen garapena bultzatzea.
Laburbilduz, Europako Batzordeak industria eolikoa indartzeko eta bere erronkak gainditzeko pakete bat prestatu du, laguntza ekonomikoak, tramitazioaren erraztasunak eta lehiakortasunaren hobekuntza barne hartuz.</t>
    </r>
  </si>
  <si>
    <t xml:space="preserve"> Europako industria eolikoko hiru handienak (Siemens Gamesa, Vestas eta Nordex) galera handiak jasaten ari dira, baina Europako Batzordeak laguntza ekonomikoak eta neurriak iragarri ditu sektorea indartzeko. Horien artean, enkanteen diseinua hobetzea, lehiakide kanpokoen praktikak zaintzea, finantzaketa erraztea eta baimen-prozesuak azkartzea daude. Gainera, itsasoko proiektu eolikoak bizkortzeko asmoa dago, energia berriztagarrien kontsumoa handitzeko eta deskarbonizazioa lortzeko.
</t>
  </si>
  <si>
    <r>
      <rPr>
        <sz val="9"/>
        <color rgb="FF000000"/>
        <rFont val="Arial"/>
        <family val="0"/>
        <charset val="1"/>
      </rPr>
      <t xml:space="preserve"> 2018an amaitu ziren Eako Poesia Egunak, eta horren ordez, Euskaltzaindiak Irailekoak izeneko poesia jaialdia sortu zuen iaz, leku desberdinetan antolatuz. Aurten, Itsasun (Lapurdi) izango da </t>
    </r>
    <r>
      <rPr>
        <sz val="9"/>
        <color rgb="FFFF0000"/>
        <rFont val="Arial"/>
        <family val="0"/>
        <charset val="1"/>
      </rPr>
      <t xml:space="preserve">egoitza</t>
    </r>
    <r>
      <rPr>
        <sz val="9"/>
        <color rgb="FF000000"/>
        <rFont val="Arial"/>
        <family val="0"/>
        <charset val="1"/>
      </rPr>
      <t xml:space="preserve">, irailaren 28an eta 29an. Programak hitzaldiak, irakurraldiak eta herriko erakusleihoetan poeten bertsoak jartzea barne hartuko ditu, nazioarteko eta euskal poetak parte hartuz. Euskaltzaindiak Itsasuko Herriko Etxearekin, Euskal Kultur Erakundearekin eta Euskararen Erakunde Publikoarekin lankidetzan antolatu du jaialdia.</t>
    </r>
  </si>
  <si>
    <r>
      <rPr>
        <sz val="9"/>
        <color rgb="FF000000"/>
        <rFont val="Arial"/>
        <family val="0"/>
        <charset val="1"/>
      </rPr>
      <t xml:space="preserve"> **</t>
    </r>
    <r>
      <rPr>
        <sz val="9"/>
        <color rgb="FFFF0000"/>
        <rFont val="Arial"/>
        <family val="0"/>
        <charset val="1"/>
      </rPr>
      <t xml:space="preserve">Euskaltzaindiak</t>
    </r>
    <r>
      <rPr>
        <sz val="9"/>
        <color rgb="FF000000"/>
        <rFont val="Arial"/>
        <family val="0"/>
        <charset val="1"/>
      </rPr>
      <t xml:space="preserve"> 2018an amaitutako Eako Poesia Egunen ondoren, Irailekoak izeneko poesia jaialdia antolatu du, eta </t>
    </r>
    <r>
      <rPr>
        <strike val="true"/>
        <sz val="9"/>
        <color rgb="FF000000"/>
        <rFont val="Arial"/>
        <family val="0"/>
        <charset val="1"/>
      </rPr>
      <t xml:space="preserve">lehen aldiz</t>
    </r>
    <r>
      <rPr>
        <sz val="9"/>
        <color rgb="FF000000"/>
        <rFont val="Arial"/>
        <family val="0"/>
        <charset val="1"/>
      </rPr>
      <t xml:space="preserve"> Itsasun (Lapurdi) egingo du aurtengoa irailaren 28an eta 29an. Jaialdiaren helburua euskal eta </t>
    </r>
    <r>
      <rPr>
        <strike val="true"/>
        <sz val="9"/>
        <color rgb="FF000000"/>
        <rFont val="Arial"/>
        <family val="0"/>
        <charset val="1"/>
      </rPr>
      <t xml:space="preserve">nazioarteko</t>
    </r>
    <r>
      <rPr>
        <sz val="9"/>
        <color rgb="FF000000"/>
        <rFont val="Arial"/>
        <family val="0"/>
        <charset val="1"/>
      </rPr>
      <t xml:space="preserve"> poesiaren lana gizarteratzea da, eta programan hitzaldiak, irakurraldiak eta herriko erakusleihoetan poeten bertsoak erakustea</t>
    </r>
    <r>
      <rPr>
        <sz val="9"/>
        <color rgb="FFFF0000"/>
        <rFont val="Arial"/>
        <family val="0"/>
        <charset val="1"/>
      </rPr>
      <t xml:space="preserve"> </t>
    </r>
    <r>
      <rPr>
        <sz val="9"/>
        <color rgb="FF000000"/>
        <rFont val="Arial"/>
        <family val="0"/>
        <charset val="1"/>
      </rPr>
      <t xml:space="preserve">barne hartzen dira. Euskaltzaindiak Itsasuko Herriko Etxearekin, Euskal Kultur Erakundearekin eta Euskararen Erakunde Publikoarekin elkarlanean antolatu du ekitaldia.**</t>
    </r>
  </si>
  <si>
    <r>
      <rPr>
        <sz val="9"/>
        <color rgb="FF000000"/>
        <rFont val="Arial"/>
        <family val="0"/>
        <charset val="1"/>
      </rPr>
      <t xml:space="preserve"> **Zer:** Irailekoak izeneko poesia jaialdia.
**Nork:** Euskaltzaindiak antolatu du, Itsasuko Herriko Etxea, Euskal Kultur Erakundearekin eta Euskararen Erakunde Publikoarekin elkarlanean.
**Noiz:** Irailaren 28an eta 29an.
**Non:** Itsasun (Lapurdi).
**Zergatik:** Euskal poesiaren zabalkundea sustatzeko eta nazioarteko poetak ere ekartzeko.
**Nola:** Hitzaldiak, irakurraldiak eta erakusleihoetan poeten bertsoak jartzea barne hartzen </t>
    </r>
    <r>
      <rPr>
        <sz val="9"/>
        <color rgb="FFFF0000"/>
        <rFont val="Arial"/>
        <family val="0"/>
        <charset val="1"/>
      </rPr>
      <t xml:space="preserve">duen</t>
    </r>
    <r>
      <rPr>
        <sz val="9"/>
        <color rgb="FF000000"/>
        <rFont val="Arial"/>
        <family val="0"/>
        <charset val="1"/>
      </rPr>
      <t xml:space="preserve"> programarekin.</t>
    </r>
  </si>
  <si>
    <r>
      <rPr>
        <sz val="9"/>
        <color rgb="FF000000"/>
        <rFont val="Arial"/>
        <family val="0"/>
        <charset val="1"/>
      </rPr>
      <t xml:space="preserve"> 2018an amaitu ziren Eako Poesia Egunak </t>
    </r>
    <r>
      <rPr>
        <sz val="9"/>
        <color rgb="FFFF0000"/>
        <rFont val="Arial"/>
        <family val="0"/>
        <charset val="1"/>
      </rPr>
      <t xml:space="preserve">ordez,</t>
    </r>
    <r>
      <rPr>
        <sz val="9"/>
        <color rgb="FF000000"/>
        <rFont val="Arial"/>
        <family val="0"/>
        <charset val="1"/>
      </rPr>
      <t xml:space="preserve"> Irailekoak izeneko poesia jaialdia hasi zuen Euskaltzaindiak iaz. Jaialdia ez da urtero leku berean egiten, eta aurtengoa Itsasun (Lapurdi) ospatuko da irailaren 28an eta 29an. Programak hitzaldiak, irakurraldiak eta herriko erakusleihoetan poeten bertsoak jartzea barne hartzen </t>
    </r>
    <r>
      <rPr>
        <sz val="9"/>
        <color rgb="FFFF0000"/>
        <rFont val="Arial"/>
        <family val="0"/>
        <charset val="1"/>
      </rPr>
      <t xml:space="preserve">du</t>
    </r>
    <r>
      <rPr>
        <sz val="9"/>
        <color rgb="FF000000"/>
        <rFont val="Arial"/>
        <family val="0"/>
        <charset val="1"/>
      </rPr>
      <t xml:space="preserve">. Nazioarteko eta euskal </t>
    </r>
    <r>
      <rPr>
        <sz val="9"/>
        <color rgb="FFFF0000"/>
        <rFont val="Arial"/>
        <family val="0"/>
        <charset val="1"/>
      </rPr>
      <t xml:space="preserve">poetak</t>
    </r>
    <r>
      <rPr>
        <sz val="9"/>
        <color rgb="FF000000"/>
        <rFont val="Arial"/>
        <family val="0"/>
        <charset val="1"/>
      </rPr>
      <t xml:space="preserve"> parte hartuko dute, eta Euskaltzaindiak Itsasuko Herriko Etxearekin, Euskal Kultur Erakundearekin eta Euskararen Erakunde Publikoarekin lankidetzan antolatu du jaialdia.</t>
    </r>
  </si>
  <si>
    <r>
      <rPr>
        <strike val="true"/>
        <sz val="9"/>
        <color rgb="FF000000"/>
        <rFont val="Arial"/>
        <family val="0"/>
        <charset val="1"/>
      </rPr>
      <t xml:space="preserve"> Haizearen aurkako indarra bildu</t>
    </r>
    <r>
      <rPr>
        <sz val="9"/>
        <color rgb="FF000000"/>
        <rFont val="Arial"/>
        <family val="0"/>
        <charset val="1"/>
      </rPr>
      <t xml:space="preserve"> eta "Galeusca" topaketak berreskuratu dituzte Euskal Idazleen Elkarteko ordezkari Joxemari Karrere eta besteek, hamar urteko etenaren ondoren. Katalanezko, Galizierazko eta Euskal Idazleen Elkarteek antolatzen dituzten topaketek hiru literatura arteko zubiak indartzeko asmoa dute, eta itzulpengintza izango da maiatzaren 29an Palman (Balearrak) egindako eguneko programaren ardatz. Topaketak</t>
    </r>
    <r>
      <rPr>
        <sz val="9"/>
        <color rgb="FFFF0000"/>
        <rFont val="Arial"/>
        <family val="0"/>
        <charset val="1"/>
      </rPr>
      <t xml:space="preserve">,</t>
    </r>
    <r>
      <rPr>
        <sz val="9"/>
        <color rgb="FF000000"/>
        <rFont val="Arial"/>
        <family val="0"/>
        <charset val="1"/>
      </rPr>
      <t xml:space="preserve"> Espainiako idazleen elkarteen arteko konferentziaren ondoren bultzatu ziren, hizkuntza eta kulturaren bigarren mailan </t>
    </r>
    <r>
      <rPr>
        <sz val="9"/>
        <color rgb="FFFF0000"/>
        <rFont val="Arial"/>
        <family val="0"/>
        <charset val="1"/>
      </rPr>
      <t xml:space="preserve">geratzearen kezka dela eta</t>
    </r>
    <r>
      <rPr>
        <sz val="9"/>
        <color rgb="FF000000"/>
        <rFont val="Arial"/>
        <family val="0"/>
        <charset val="1"/>
      </rPr>
      <t xml:space="preserve">. </t>
    </r>
    <r>
      <rPr>
        <strike val="true"/>
        <sz val="9"/>
        <color rgb="FF000000"/>
        <rFont val="Arial"/>
        <family val="0"/>
        <charset val="1"/>
      </rPr>
      <t xml:space="preserve">Emanaldiak</t>
    </r>
    <r>
      <rPr>
        <sz val="9"/>
        <color rgb="FF000000"/>
        <rFont val="Arial"/>
        <family val="0"/>
        <charset val="1"/>
      </rPr>
      <t xml:space="preserve">, hitzaldiak eta irakurketak izango dira, eta helburua da hiru literatura nazionalen ahotsa bateratzea estatuko aldaketetan kontuan hartzea. Etenaldiak harremanak ahuldu dituela aipatzen da, eta idazle gazteek beste hizkuntzetako literaturarekiko interesa sustatzeko beharra azpimarratzen da. Madrilen eta Parisen duen erreferentzialtasun handia kritikatuz, zentraltasuna euren kulturan kokatzen dute.</t>
    </r>
  </si>
  <si>
    <t xml:space="preserve"> **Edukirik garrantzitsuena:**
Galeusca topaketak berriz antolatu dira hamar urteko etenaren ondoren, hiru hizkuntza komunitateen (euskara, katalana eta galiziera) arteko elkarlana eta kulturaren defentsa indartzeko, batez ere eraso judizial eta estatutu aldaketek eragindako mehatxuen aurrean. Itzulpengintza izango da topaketetako ardatz nagusia, eta manifestu berri bat irakurriko da egoera gaurkotuari erantzuteko.
**Laburpena:**
Galeusca topaketak berriz egingo dira Palman, maiatzaren 29an, euskara, katalana eta galiziera hitz egiten diren komunitateen arteko elkarlana eta kulturaren defentsa indartzeko asmoz, eraso judizial eta estatutu aldaketek eragindako mehatxuen aurrean. Itzulpengintza izango da gai nagusia, eta manifestu berri bat aurkeztuko da egoera gaurkotuari erantzuteko.</t>
  </si>
  <si>
    <t xml:space="preserve"> **Zer:** Galeusca topaketak berriz antolatu dira, hamar urteko etenaren ondoren.
**Nork:** Euskal Idazleen Elkartea, Katalanezko Idazleen Elkartea eta Galizierazko Idazleen Elkartea.
**Noiz:** Maiatzaren 29an.
**Non:** Palman, Balearrak.
**Zergatik:** Kontrarreforma kulturalaren mehatxua eta hizkuntza minorizatuen defentsarako beharra dela eta.
**Nola:** Egun beteko programa antolatu dute, itzulpengintza ardatz gisa hartuta, eta manifestu berri bat irakurriko dute.
Laburbilduz, hiru idazleen elkarteek Galeusca topaketak berriz antolatu dituzte, hizkuntza minorizatuen defentsa eta kontrarreforma kulturalaren aurkako erantzuna gisa, Palman maiatzaren 29an, itzulpengintza ardatz gisa hartuta eta manifestu berri bat aurkeztuz.
</t>
  </si>
  <si>
    <r>
      <rPr>
        <sz val="9"/>
        <color rgb="FF000000"/>
        <rFont val="Arial"/>
        <family val="0"/>
        <charset val="1"/>
      </rPr>
      <t xml:space="preserve"> Galeusca topaketak berriz antolatu dituzte Euskal Idazleen Elkarteak, Katalanezko Idazleen Elkarteak eta Galizierazko Idazleen Elkarteak, hamar urteko etenaren ondoren. Kontrarreformaren mehatxua eta hizkuntza eta kulturaren aurkako erasoak direla eta, elkartu dira berriro, hiru literatura arteko zubiak indartzeko eta estatuaren aldaketetan ahots bat izateko. Itzulpengintza izango da topaketetako ardatza, eta manifestu berri bat irakurriko dute, gaur egungo egoerari egokitua. Topaketek muga administratiboak gainditzeko eta hiru literatura arteko ezagutza sustatzeko helburua dute, eta </t>
    </r>
    <r>
      <rPr>
        <strike val="true"/>
        <sz val="9"/>
        <color rgb="FF000000"/>
        <rFont val="Arial"/>
        <family val="0"/>
        <charset val="1"/>
      </rPr>
      <t xml:space="preserve">idazle gazteek ere parte hartuko dute.</t>
    </r>
  </si>
  <si>
    <r>
      <rPr>
        <sz val="9"/>
        <color rgb="FF000000"/>
        <rFont val="Arial"/>
        <family val="0"/>
        <charset val="1"/>
      </rPr>
      <t xml:space="preserve"> EAJk datorren legegintzaldian Euskadiko estatus berri baterantz aurrera egiteko asmoa du, Andoni Ortuzarren arabera, eta urte eta erdian proposamen bat aurkeztuko dute, EH Bildurekin eta PSE-EErekin bat </t>
    </r>
    <r>
      <rPr>
        <sz val="9"/>
        <color rgb="FFFF0000"/>
        <rFont val="Arial"/>
        <family val="0"/>
        <charset val="1"/>
      </rPr>
      <t xml:space="preserve">etorrizko</t>
    </r>
    <r>
      <rPr>
        <sz val="9"/>
        <color rgb="FF000000"/>
        <rFont val="Arial"/>
        <family val="0"/>
        <charset val="1"/>
      </rPr>
      <t xml:space="preserve"> direla uste </t>
    </r>
    <r>
      <rPr>
        <sz val="9"/>
        <color rgb="FFFF0000"/>
        <rFont val="Arial"/>
        <family val="0"/>
        <charset val="1"/>
      </rPr>
      <t xml:space="preserve">dutelarik</t>
    </r>
    <r>
      <rPr>
        <sz val="9"/>
        <color rgb="FF000000"/>
        <rFont val="Arial"/>
        <family val="0"/>
        <charset val="1"/>
      </rPr>
      <t xml:space="preserve">. Pedro Sanchezekin lortutako akordioari esker, Ortuzarrek optimismoa adierazi du. Bestalde, Arnaldo Otegik EH Bilduren aldetik, akordioa posible dela uste du jendearen </t>
    </r>
    <r>
      <rPr>
        <sz val="9"/>
        <color rgb="FFFF0000"/>
        <rFont val="Arial"/>
        <family val="0"/>
        <charset val="1"/>
      </rPr>
      <t xml:space="preserve">nahiak</t>
    </r>
    <r>
      <rPr>
        <sz val="9"/>
        <color rgb="FF000000"/>
        <rFont val="Arial"/>
        <family val="0"/>
        <charset val="1"/>
      </rPr>
      <t xml:space="preserve"> errespetatzen badira, eta sozialistekin negoziazioetan aurrera egiteko </t>
    </r>
    <r>
      <rPr>
        <sz val="9"/>
        <color rgb="FFFF0000"/>
        <rFont val="Arial"/>
        <family val="0"/>
        <charset val="1"/>
      </rPr>
      <t xml:space="preserve">deia egin du</t>
    </r>
    <r>
      <rPr>
        <sz val="9"/>
        <color rgb="FF000000"/>
        <rFont val="Arial"/>
        <family val="0"/>
        <charset val="1"/>
      </rPr>
      <t xml:space="preserve">. Sumarrek, aldiz, Araba, Bizkaia eta Gipuzkoarako estatutu berri bat proposatu du, eskubide sozialak eta aniztasuna indartzeko helburuarekin.</t>
    </r>
  </si>
  <si>
    <r>
      <rPr>
        <sz val="9"/>
        <color rgb="FF000000"/>
        <rFont val="Arial"/>
        <family val="0"/>
        <charset val="1"/>
      </rPr>
      <t xml:space="preserve"> **Euskadiko Estatus Berriari Buruzko Akordioak: EAJk eta EH Bilduk Negoziazioak Abiatu, PSE-EEri Deia**
EAJk datorren legegintzaldian Euskadiko estatus berri baterantz aurrera egiteko asmoa adierazi du, Andoni Ortuzarren arabera, eta urte eta erdian proposamen bat aurkeztuko dutela iragarri dute, EH Bildurekin eta PSE-EErekin bat etortzeko itxaropenarekin. Pedro Sanchezekin lortutako akordioa </t>
    </r>
    <r>
      <rPr>
        <sz val="9"/>
        <color rgb="FFFF0000"/>
        <rFont val="Arial"/>
        <family val="0"/>
        <charset val="1"/>
      </rPr>
      <t xml:space="preserve">aipatuz</t>
    </r>
    <r>
      <rPr>
        <sz val="9"/>
        <color rgb="FF000000"/>
        <rFont val="Arial"/>
        <family val="0"/>
        <charset val="1"/>
      </rPr>
      <t xml:space="preserve">, Ortuzarrek optimismoa adierazi du estatus politiko berri baterantz egiteko </t>
    </r>
    <r>
      <rPr>
        <sz val="9"/>
        <color rgb="FFFF0000"/>
        <rFont val="Arial"/>
        <family val="0"/>
        <charset val="1"/>
      </rPr>
      <t xml:space="preserve">bidean</t>
    </r>
    <r>
      <rPr>
        <sz val="9"/>
        <color rgb="FF000000"/>
        <rFont val="Arial"/>
        <family val="0"/>
        <charset val="1"/>
      </rPr>
      <t xml:space="preserve">.
EH Bilduko Arnaldo Otegik, berriz, akordio baten aukera posiblea ikusten du jendearen </t>
    </r>
    <r>
      <rPr>
        <sz val="9"/>
        <color rgb="FFFF0000"/>
        <rFont val="Arial"/>
        <family val="0"/>
        <charset val="1"/>
      </rPr>
      <t xml:space="preserve">nahiak</t>
    </r>
    <r>
      <rPr>
        <sz val="9"/>
        <color rgb="FF000000"/>
        <rFont val="Arial"/>
        <family val="0"/>
        <charset val="1"/>
      </rPr>
      <t xml:space="preserve"> errespetatzen badira, baina PSE-EEren posizioa kritikatu du, </t>
    </r>
    <r>
      <rPr>
        <sz val="9"/>
        <color rgb="FFFF0000"/>
        <rFont val="Arial"/>
        <family val="0"/>
        <charset val="1"/>
      </rPr>
      <t xml:space="preserve">adieraziz</t>
    </r>
    <r>
      <rPr>
        <sz val="9"/>
        <color rgb="FF000000"/>
        <rFont val="Arial"/>
        <family val="0"/>
        <charset val="1"/>
      </rPr>
      <t xml:space="preserve"> ez dutela herriaren gehiengoaren borondatea islatzen. Otegik erabakitzeko eskubidea adostasunez formulatzeko prozesuan ari direla azpimarratu du eta koalizio abertzaleak agintean egotearen helburua duela esan du, baina Araban, Bizkaian eta Gipuzkoan </t>
    </r>
    <r>
      <rPr>
        <sz val="9"/>
        <color rgb="FFFF0000"/>
        <rFont val="Arial"/>
        <family val="0"/>
        <charset val="1"/>
      </rPr>
      <t xml:space="preserve">inork bakarrik ezin duela agindu</t>
    </r>
    <r>
      <rPr>
        <sz val="9"/>
        <color rgb="FF000000"/>
        <rFont val="Arial"/>
        <family val="0"/>
        <charset val="1"/>
      </rPr>
      <t xml:space="preserve">.
Bestalde, Sumarrek Araba, Bizkai eta Gipuzkoarako estatutu berri bat defendatzen du, eskubide sozialak, aniztasuna eta memoria demokratikoa aitortzen dituena. Koalizioak botere publikoen jarduteko gaitasuna indartzea eta oinarrizko eskubideak bermatzea proposatzen du.
Laburbilduz, Euskadiko estatus berriari buruzko negoziazioak abian daude, eta hiru alderdi nagusiek (EAJ, EH Bildu eta PSE-EE) beren posizioak adierazten ari dira, akordio baterantz iritsi nahian.</t>
    </r>
  </si>
  <si>
    <t xml:space="preserve"> **Zer:** EAJk eta EH Bilduk estatus politiko berri bat lortzeko negoziazioak abiatu dituzte, Espainiako Gobernuarekin lortutako akordioaren ondoren. Sumarrek, bestalde, Araba, Bizkai eta Gipuzkoarako estatutu berri bat proposatu du, eskubide sozialak eta aniztasuna indartzeko helburuarekin.
**Nork:** EAJko Andoni Ortuzar eta EH Bilduko Arnaldo Otegi, Sumar koalizioa.
**Noiz:** Datorren legegintzaldian, aurreikusten da negoziazioak eta proposamenak garatuko direla. Astelehenean hasiko da EAJ eta PSE-EEren arteko negoziazioa.
**Non:** Euskadi, bere hiru probintzietan (Araba, Bizkai eta Gipuzkoa).
**Zergatik:** EAJk eta EH Bilduk estatus politiko hobea lortu nahi dute Euskadiarentzat, Espainiako Gobernuarekin lortutako akordioaren ondoren. Sumarrek, bere aldetik, eskubide sozialak eta aniztasuna indartzeko estatutu berri bat proposatzen du.
**Nola:** EAJk eta EH Bilduk elkarlanean arituko dira proposamen bat garatzeko eta akordioak lortzeko. Sumarrek bere proposamena plazaratu du eta botere publikoen jarduteko gaitasuna, eskubide sozialak eta Euskadiren nazio izaera aitortzea eskatzen ditu.
</t>
  </si>
  <si>
    <r>
      <rPr>
        <sz val="9"/>
        <color rgb="FF000000"/>
        <rFont val="Arial"/>
        <family val="0"/>
        <charset val="1"/>
      </rPr>
      <t xml:space="preserve"> EAJk datorren legegintzaldian Euskadiko estatus berriari bultzada emateko asmoa du, urte eta erdian proposamen bat prestatuz eta EH Bildu eta PSE-EErekin akordioa lortzeko itxaropenarekin. Andoni Ortuzarrek adierazi du Pedro Sanchezekin Gernikako Estatutuaren aplikazioari buruzko akordioa dela aurrerapausoa. EH Bilduk ere autogobernuari buruzko adostasuna bilatzen du, baina PSE-EEren </t>
    </r>
    <r>
      <rPr>
        <sz val="9"/>
        <color rgb="FFFF0000"/>
        <rFont val="Arial"/>
        <family val="0"/>
        <charset val="1"/>
      </rPr>
      <t xml:space="preserve">jarrera</t>
    </r>
    <r>
      <rPr>
        <sz val="9"/>
        <color rgb="FF000000"/>
        <rFont val="Arial"/>
        <family val="0"/>
        <charset val="1"/>
      </rPr>
      <t xml:space="preserve"> kezka sortzen du. Arnaldo Otegik esan du akordio bat posible dela jendearen </t>
    </r>
    <r>
      <rPr>
        <sz val="9"/>
        <color rgb="FFFF0000"/>
        <rFont val="Arial"/>
        <family val="0"/>
        <charset val="1"/>
      </rPr>
      <t xml:space="preserve">nahiak errespetatuz</t>
    </r>
    <r>
      <rPr>
        <sz val="9"/>
        <color rgb="FF000000"/>
        <rFont val="Arial"/>
        <family val="0"/>
        <charset val="1"/>
      </rPr>
      <t xml:space="preserve">, eta Sumarrek estatutu berri bat proposatu du eskubide sozialak eta aniztasuna indartzeko.</t>
    </r>
  </si>
  <si>
    <r>
      <rPr>
        <sz val="9"/>
        <color theme="1"/>
        <rFont val="Arial"/>
        <family val="0"/>
        <charset val="1"/>
      </rPr>
      <t xml:space="preserve">Testua Unai Lasori egindako elkarrizketa bati buruzkoa da. Elkarrizketa horretan, Lasok bere azken partidari buruz hitz egiten du, Joanes Bakaikoaren aurka jokatu zuena eta 22-9 irabazi zuena. </t>
    </r>
    <r>
      <rPr>
        <strike val="true"/>
        <sz val="9"/>
        <color theme="1"/>
        <rFont val="Arial"/>
        <family val="0"/>
        <charset val="1"/>
      </rPr>
      <t xml:space="preserve">Unai Lasok esaten du partida hori bere itzulera ofiziala izan zela, ia urtebete pasa ondoren</t>
    </r>
    <r>
      <rPr>
        <sz val="9"/>
        <color theme="1"/>
        <rFont val="Arial"/>
        <family val="0"/>
        <charset val="1"/>
      </rPr>
      <t xml:space="preserve">. Partida horretan, </t>
    </r>
    <r>
      <rPr>
        <strike val="true"/>
        <sz val="9"/>
        <color theme="1"/>
        <rFont val="Arial"/>
        <family val="0"/>
        <charset val="1"/>
      </rPr>
      <t xml:space="preserve">beldurra sentitu zuen</t>
    </r>
    <r>
      <rPr>
        <sz val="9"/>
        <color theme="1"/>
        <rFont val="Arial"/>
        <family val="0"/>
        <charset val="1"/>
      </rPr>
      <t xml:space="preserve">, baina errespetua ere bai, eta ausart eta zalantza egin gabe jokatu zuen. Partidan zehar nekatu egin zen, baina gustura aritu zen.
Unai Lasok dio bere eskuinarekin gozatzen hobetu duela, eta binakakoan ezin izan zuela bere jokoa </t>
    </r>
    <r>
      <rPr>
        <sz val="9"/>
        <color rgb="FFFF0000"/>
        <rFont val="Arial"/>
        <family val="0"/>
        <charset val="1"/>
      </rPr>
      <t xml:space="preserve">egiteko</t>
    </r>
    <r>
      <rPr>
        <sz val="9"/>
        <color theme="1"/>
        <rFont val="Arial"/>
        <family val="0"/>
        <charset val="1"/>
      </rPr>
      <t xml:space="preserve">. Lan asko du egiteko, baina hobeto ari dela nabaritzen du. Unai Lasok dio frontoian mugitzen duela </t>
    </r>
    <r>
      <rPr>
        <sz val="9"/>
        <color rgb="FFFF0000"/>
        <rFont val="Arial"/>
        <family val="0"/>
        <charset val="1"/>
      </rPr>
      <t xml:space="preserve">hobetzeko</t>
    </r>
    <r>
      <rPr>
        <sz val="9"/>
        <color theme="1"/>
        <rFont val="Arial"/>
        <family val="0"/>
        <charset val="1"/>
      </rPr>
      <t xml:space="preserve">, eta fisioterapeutarengana joaten dela oraindik astero. Osatuta dago, baina oraindik mugikortasun pixka bat falta zaio.
Unai Lasok dio </t>
    </r>
    <r>
      <rPr>
        <sz val="9"/>
        <color rgb="FFFF0000"/>
        <rFont val="Arial"/>
        <family val="0"/>
        <charset val="1"/>
      </rPr>
      <t xml:space="preserve">nirean</t>
    </r>
    <r>
      <rPr>
        <sz val="9"/>
        <color theme="1"/>
        <rFont val="Arial"/>
        <family val="0"/>
        <charset val="1"/>
      </rPr>
      <t xml:space="preserve"> duela arreta osoa, eta badaki oraindik ez duela atera barruan </t>
    </r>
    <r>
      <rPr>
        <sz val="9"/>
        <color rgb="FFFF0000"/>
        <rFont val="Arial"/>
        <family val="0"/>
        <charset val="1"/>
      </rPr>
      <t xml:space="preserve">dudan</t>
    </r>
    <r>
      <rPr>
        <sz val="9"/>
        <color theme="1"/>
        <rFont val="Arial"/>
        <family val="0"/>
        <charset val="1"/>
      </rPr>
      <t xml:space="preserve"> joko guztia. Ez daki lehengo Lasorengandik zenbat urrun dagoen, baina badaki egunen batean aterako dela barruan </t>
    </r>
    <r>
      <rPr>
        <sz val="9"/>
        <color rgb="FFFF0000"/>
        <rFont val="Arial"/>
        <family val="0"/>
        <charset val="1"/>
      </rPr>
      <t xml:space="preserve">dudan </t>
    </r>
    <r>
      <rPr>
        <sz val="9"/>
        <color theme="1"/>
        <rFont val="Arial"/>
        <family val="0"/>
        <charset val="1"/>
      </rPr>
      <t xml:space="preserve">jokoa. Unai Lasok dio gero eta hobeto ari dela, eta horrek mesede egiten dio buruari.
Unai Lasok dio binakakoan aritu zela lehen aldiz lesioa osatu berritan, eta pixkanaka-pixkanaka sasoia, erritmoa eta jokoa berreskuratu zituela. Unai Lasok dio dena oparia dela, eta izugarria zen ibili ezinik egon ondoren, berriro Lehen Mailako txapelketa bat jokatzea.
Unai Lasok dio Jokin Altunaren aurka jokatuko duela, eta gogo izugarria du haren aurka jokatzeko. Jokin oso ondo prestatuta egongo da, baina Unai Lasok dio ongi dagoela, eta</t>
    </r>
    <r>
      <rPr>
        <sz val="9"/>
        <color rgb="FFFF0000"/>
        <rFont val="Arial"/>
        <family val="0"/>
        <charset val="1"/>
      </rPr>
      <t xml:space="preserve"> nire</t>
    </r>
    <r>
      <rPr>
        <sz val="9"/>
        <color theme="1"/>
        <rFont val="Arial"/>
        <family val="0"/>
        <charset val="1"/>
      </rPr>
      <t xml:space="preserve"> lana ondo egin duela. Unai Lasok dio bete-betean jokatu behar duela, baina seguru dago bete-betean joka dezakeela.
Unai Lasok dio Bilbon ariko dela, eta han irabazi zion Jokini 2022an, finalerdietan, eta txapeldun izan zen. Unai Lasok dio minik ez hartzea eta partidaz partida joatea dela bere helburua, eta gozatu egin nahi </t>
    </r>
    <r>
      <rPr>
        <sz val="9"/>
        <color rgb="FFFF0000"/>
        <rFont val="Arial"/>
        <family val="0"/>
        <charset val="1"/>
      </rPr>
      <t xml:space="preserve">du</t>
    </r>
    <r>
      <rPr>
        <sz val="9"/>
        <color theme="1"/>
        <rFont val="Arial"/>
        <family val="0"/>
        <charset val="1"/>
      </rPr>
      <t xml:space="preserve"> partida guztietan </t>
    </r>
    <r>
      <rPr>
        <sz val="9"/>
        <color rgb="FFFF0000"/>
        <rFont val="Arial"/>
        <family val="0"/>
        <charset val="1"/>
      </rPr>
      <t xml:space="preserve">gogor borrokatu eta irabaztera joan.</t>
    </r>
  </si>
  <si>
    <r>
      <rPr>
        <sz val="9"/>
        <color theme="1"/>
        <rFont val="Arial"/>
        <family val="0"/>
        <charset val="1"/>
      </rPr>
      <t xml:space="preserve">Edukirik garrantzitsuena: </t>
    </r>
    <r>
      <rPr>
        <sz val="9"/>
        <color rgb="FFFF0000"/>
        <rFont val="Arial"/>
        <family val="0"/>
        <charset val="1"/>
      </rPr>
      <t xml:space="preserve">Unai Laso pilotariak bere itzulera </t>
    </r>
    <r>
      <rPr>
        <sz val="9"/>
        <color theme="1"/>
        <rFont val="Arial"/>
        <family val="0"/>
        <charset val="1"/>
      </rPr>
      <t xml:space="preserve">eta aurreikuspenak buruz buruko txapelketan.
Laburpena:
Unai Laso pilotariak bere </t>
    </r>
    <r>
      <rPr>
        <strike val="true"/>
        <sz val="9"/>
        <color theme="1"/>
        <rFont val="Arial"/>
        <family val="0"/>
        <charset val="1"/>
      </rPr>
      <t xml:space="preserve">itzulera egin du buruz buruko txapelketan</t>
    </r>
    <r>
      <rPr>
        <sz val="9"/>
        <color theme="1"/>
        <rFont val="Arial"/>
        <family val="0"/>
        <charset val="1"/>
      </rPr>
      <t xml:space="preserve">, ia urtebeteren ostean. Pilotariak </t>
    </r>
    <r>
      <rPr>
        <sz val="9"/>
        <color rgb="FFFF0000"/>
        <rFont val="Arial"/>
        <family val="0"/>
        <charset val="1"/>
      </rPr>
      <t xml:space="preserve">bere burua ondo sentitzen du</t>
    </r>
    <r>
      <rPr>
        <sz val="9"/>
        <color theme="1"/>
        <rFont val="Arial"/>
        <family val="0"/>
        <charset val="1"/>
      </rPr>
      <t xml:space="preserve"> eta konfiantza du bere trebetasun</t>
    </r>
    <r>
      <rPr>
        <sz val="9"/>
        <color rgb="FFFF0000"/>
        <rFont val="Arial"/>
        <family val="0"/>
        <charset val="1"/>
      </rPr>
      <t xml:space="preserve">etan</t>
    </r>
    <r>
      <rPr>
        <sz val="9"/>
        <color theme="1"/>
        <rFont val="Arial"/>
        <family val="0"/>
        <charset val="1"/>
      </rPr>
      <t xml:space="preserve">. Bere helburua da minik ez hartzea eta partida guztietan gogor borrokatu eta irabaztera </t>
    </r>
    <r>
      <rPr>
        <sz val="9"/>
        <color rgb="FFFF0000"/>
        <rFont val="Arial"/>
        <family val="0"/>
        <charset val="1"/>
      </rPr>
      <t xml:space="preserve">joan</t>
    </r>
    <r>
      <rPr>
        <sz val="9"/>
        <color theme="1"/>
        <rFont val="Arial"/>
        <family val="0"/>
        <charset val="1"/>
      </rPr>
      <t xml:space="preserve">. Lehenengo partida Jokin Altunaren aurka jokatuko du eta bete-betean jokatzeko prest dago.</t>
    </r>
  </si>
  <si>
    <r>
      <rPr>
        <sz val="9"/>
        <color theme="1"/>
        <rFont val="Arial"/>
        <family val="0"/>
        <charset val="1"/>
      </rPr>
      <t xml:space="preserve">5W1H metodoa aplikatuz, honako informazioa lortu daiteke:
* Zer: Unai Lasok Joanes Bakaikoari 22-9 irabazi zion buruz burukoaren final-zortzirenetako partidan.
* Nork: Unai Lasok.
* Noiz: Bi aste lehentxeago.
* Non: Labriten.
* Zergatik: Unai Lasok esan zuen "Seinale ona </t>
    </r>
    <r>
      <rPr>
        <sz val="9"/>
        <color rgb="FFFF0000"/>
        <rFont val="Arial"/>
        <family val="0"/>
        <charset val="1"/>
      </rPr>
      <t xml:space="preserve">da</t>
    </r>
    <r>
      <rPr>
        <sz val="9"/>
        <color theme="1"/>
        <rFont val="Arial"/>
        <family val="0"/>
        <charset val="1"/>
      </rPr>
      <t xml:space="preserve">" eta "berezia" izan zela ia urtebeteren ostean berriro buruz buru aritzea.
* Nola: Unai Lasok ondo aritu zen partida osoan, eta bere jokoa erakutsi zuen.</t>
    </r>
  </si>
  <si>
    <r>
      <rPr>
        <sz val="9"/>
        <color theme="1"/>
        <rFont val="Arial"/>
        <family val="0"/>
        <charset val="1"/>
      </rPr>
      <t xml:space="preserve">Unai Laso pilotariak elkarrizketa bat eman du, non </t>
    </r>
    <r>
      <rPr>
        <sz val="9"/>
        <color rgb="FFFF0000"/>
        <rFont val="Arial"/>
        <family val="0"/>
        <charset val="1"/>
      </rPr>
      <t xml:space="preserve">bere itzulera buruz buruko txapelketara</t>
    </r>
    <r>
      <rPr>
        <sz val="9"/>
        <color theme="1"/>
        <rFont val="Arial"/>
        <family val="0"/>
        <charset val="1"/>
      </rPr>
      <t xml:space="preserve"> eta bere egoera fisikoari buruz hitz egin duen. Lesio baten ondoren ia </t>
    </r>
    <r>
      <rPr>
        <strike val="true"/>
        <sz val="9"/>
        <color theme="1"/>
        <rFont val="Arial"/>
        <family val="0"/>
        <charset val="1"/>
      </rPr>
      <t xml:space="preserve">urtebeteren ostean itzuli da</t>
    </r>
    <r>
      <rPr>
        <sz val="9"/>
        <color theme="1"/>
        <rFont val="Arial"/>
        <family val="0"/>
        <charset val="1"/>
      </rPr>
      <t xml:space="preserve">, eta beldurrik ez duela esan du, baina errespetua bai, eta buruz indartsu eta ondo entrenatuta joan behar zuela frontoira. Partida onak jokatu ditu itzuli zenetik, baina oraindik asko du hobetzeko. Eskuinarekin gozatzen hobetu du gehien, eta frontoian mugitzen du gehien hobetzeko. "Laso bueltan da" esaldiari buruz, ez diola kasurik egiten dio, eta </t>
    </r>
    <r>
      <rPr>
        <sz val="9"/>
        <color rgb="FFFF0000"/>
        <rFont val="Arial"/>
        <family val="0"/>
        <charset val="1"/>
      </rPr>
      <t xml:space="preserve">nirean </t>
    </r>
    <r>
      <rPr>
        <sz val="9"/>
        <color theme="1"/>
        <rFont val="Arial"/>
        <family val="0"/>
        <charset val="1"/>
      </rPr>
      <t xml:space="preserve">du arreta osoa. Jokin Altunaren aurkako partida aurreikusten du, eta gogor izango dela esan du. Bete-betean jokatu behar duela dio, eta seguru dago bete-betean joka dezakeela.</t>
    </r>
  </si>
  <si>
    <t xml:space="preserve">Kutxabankek 2.116 milioi euro jarri zituen 2023an jasangarritasunerako bere irizpideak betetzen dituzten proiektuak finantzatzeko.</t>
  </si>
  <si>
    <r>
      <rPr>
        <sz val="9"/>
        <color rgb="FF999999"/>
        <rFont val="Arial"/>
        <family val="0"/>
        <charset val="1"/>
      </rPr>
      <t xml:space="preserve">Hurrengo testuaren edukirik garrantzitsuena honako hau da:</t>
    </r>
    <r>
      <rPr>
        <sz val="9"/>
        <color theme="1"/>
        <rFont val="Arial"/>
        <family val="0"/>
        <charset val="1"/>
      </rPr>
      <t xml:space="preserve"> Kutxabankek 2.116 milioi euro jarri zituen iaz jasangarritasunerako bere barne irizpideak betetzen dituzten proiektuak finantzatzeko.</t>
    </r>
  </si>
  <si>
    <r>
      <rPr>
        <sz val="9"/>
        <color rgb="FFB7B7B7"/>
        <rFont val="Arial"/>
        <family val="0"/>
        <charset val="1"/>
      </rPr>
      <t xml:space="preserve">5W1H metodoaren arabera, honako laburpena egin daiteke:
</t>
    </r>
    <r>
      <rPr>
        <sz val="9"/>
        <color theme="1"/>
        <rFont val="Arial"/>
        <family val="0"/>
        <charset val="1"/>
      </rPr>
      <t xml:space="preserve">
* Zer: Kutxabankek 2.116 milioi euro jarri zituen jasangarritasun proiektuak finantzatzeko.
* Nork: Kutxabankek.
* Noiz: 2023an.
* Non: Ez dago zehaztuta.
* Zergatik: Jasangarritasun proiektuak finantzatzeko eta energia berriztagarriak, mugikortasun jasangarria eta etxebizitzak sustatzeko.
* Nola: Maileguen bidez, besteak beste, Hipoteka Berdea eta kontsumorako kredituen bidez.</t>
    </r>
  </si>
  <si>
    <r>
      <rPr>
        <sz val="9"/>
        <color theme="1"/>
        <rFont val="Arial"/>
        <family val="0"/>
        <charset val="1"/>
      </rPr>
      <t xml:space="preserve">Kutxabank</t>
    </r>
    <r>
      <rPr>
        <sz val="9"/>
        <color rgb="FFFF0000"/>
        <rFont val="Arial"/>
        <family val="0"/>
        <charset val="1"/>
      </rPr>
      <t xml:space="preserve">-ek</t>
    </r>
    <r>
      <rPr>
        <sz val="9"/>
        <color theme="1"/>
        <rFont val="Arial"/>
        <family val="0"/>
        <charset val="1"/>
      </rPr>
      <t xml:space="preserve"> 2.116 milioi euro jarri zituen 2023an jasangarritasunean oinarritutako proiektuak finantzatzeko. Mailegu gehienak enpresek jaso zituzten, energia berriztagarriak eta mugikortasun jasangarriko proiektuetarako. Hipoteka Berdea izeneko mailegu bereziak ere bultzatu zituzten, energia ziurtagiririk onena duten etxebizitzak erosteko.</t>
    </r>
  </si>
  <si>
    <r>
      <rPr>
        <sz val="9"/>
        <color theme="1"/>
        <rFont val="Arial"/>
        <family val="0"/>
        <charset val="1"/>
      </rPr>
      <t xml:space="preserve">Gastronomia sektoreko profesionalak eta Euskal Herriko ekoizleak bildu dira Arkautin (Araba), Euskal Gastronomiaren Topaketaren hirugarren </t>
    </r>
    <r>
      <rPr>
        <sz val="9"/>
        <color rgb="FFFF0000"/>
        <rFont val="Arial"/>
        <family val="0"/>
        <charset val="1"/>
      </rPr>
      <t xml:space="preserve">aldiarekin</t>
    </r>
    <r>
      <rPr>
        <sz val="9"/>
        <color theme="1"/>
        <rFont val="Arial"/>
        <family val="0"/>
        <charset val="1"/>
      </rPr>
      <t xml:space="preserve">. Ekitaldiak, tailer eta emanaldi kulturalak programatuta, egun osoa bete </t>
    </r>
    <r>
      <rPr>
        <sz val="9"/>
        <color rgb="FFFF0000"/>
        <rFont val="Arial"/>
        <family val="0"/>
        <charset val="1"/>
      </rPr>
      <t xml:space="preserve">ditu</t>
    </r>
    <r>
      <rPr>
        <sz val="9"/>
        <color theme="1"/>
        <rFont val="Arial"/>
        <family val="0"/>
        <charset val="1"/>
      </rPr>
      <t xml:space="preserve">.</t>
    </r>
  </si>
  <si>
    <r>
      <rPr>
        <sz val="9"/>
        <color theme="1"/>
        <rFont val="Arial"/>
        <family val="0"/>
        <charset val="1"/>
      </rPr>
      <t xml:space="preserve">Testuaren edukirik garrantzitsuena da Euskal Gastronomiaren Topaketa, non sukaldaritzako profesionalak eta ekoizleak elkartu diren gastronomia sektorea batu eta etorkizunari buruzko gogoeta egitera </t>
    </r>
    <r>
      <rPr>
        <sz val="9"/>
        <color rgb="FFFF0000"/>
        <rFont val="Arial"/>
        <family val="0"/>
        <charset val="1"/>
      </rPr>
      <t xml:space="preserve">gonbidatzeko</t>
    </r>
    <r>
      <rPr>
        <sz val="9"/>
        <color theme="1"/>
        <rFont val="Arial"/>
        <family val="0"/>
        <charset val="1"/>
      </rPr>
      <t xml:space="preserve">. Ekitaldiak hitzaldiak, tailerak eta kultur emanaldiak izan ditu, eta Arabako jakien altxorra eta sukaldeetan irakiten dagoen talentua aldarrikatu ditu.</t>
    </r>
  </si>
  <si>
    <r>
      <rPr>
        <sz val="9"/>
        <color rgb="FFB7B7B7"/>
        <rFont val="Arial"/>
        <family val="0"/>
        <charset val="1"/>
      </rPr>
      <t xml:space="preserve">Bai, 5W1H metodoa erabiliz laburbilduko dut testua:
</t>
    </r>
    <r>
      <rPr>
        <sz val="9"/>
        <color theme="1"/>
        <rFont val="Arial"/>
        <family val="0"/>
        <charset val="1"/>
      </rPr>
      <t xml:space="preserve">
* Zer: Euskal Gastronomiaren Topaketa, euskal gastronomiaren etorkizunari buruzko gogoeta egitera gonbidatu duena.
* Nork: </t>
    </r>
    <r>
      <rPr>
        <strike val="true"/>
        <sz val="9"/>
        <color theme="1"/>
        <rFont val="Arial"/>
        <family val="0"/>
        <charset val="1"/>
      </rPr>
      <t xml:space="preserve">250</t>
    </r>
    <r>
      <rPr>
        <sz val="9"/>
        <color theme="1"/>
        <rFont val="Arial"/>
        <family val="0"/>
        <charset val="1"/>
      </rPr>
      <t xml:space="preserve"> gastronomia sektoreko profesionalak eta Euskal Herriko ekoizleak.
* Noiz: Eguna, data zehatzik ez da aipatzen.
* Non: Nekazaritzako Elikagaien campusa (Araba).
* Zergatik: Euskal gastronomiaren komunitatea batu eta etorkizunari buruz gogoeta egitera gonbidatzeko.
* Nola: Mahai-inguru, tailer eta kultur emanaldien programarekin, hitzaldiak eta gastronomia azoka.</t>
    </r>
  </si>
  <si>
    <r>
      <rPr>
        <sz val="9"/>
        <color theme="1"/>
        <rFont val="Arial"/>
        <family val="0"/>
        <charset val="1"/>
      </rPr>
      <t xml:space="preserve">Euskal Gastronomiaren Topaketaren hirugarren aldia ospatu da Arkautin (Araba), non 250 </t>
    </r>
    <r>
      <rPr>
        <sz val="9"/>
        <color rgb="FFFF0000"/>
        <rFont val="Arial"/>
        <family val="0"/>
        <charset val="1"/>
      </rPr>
      <t xml:space="preserve">gastronomia profesional</t>
    </r>
    <r>
      <rPr>
        <sz val="9"/>
        <color theme="1"/>
        <rFont val="Arial"/>
        <family val="0"/>
        <charset val="1"/>
      </rPr>
      <t xml:space="preserve"> eta ekoizle baino gehiago bildu diren. Ekitaldiak tailer, mahai-inguru eta kultur emanaldiak eskaini ditu, eta helburua Euskal Herriko gastronomia sektorea batzea eta etorkizunari buruzko gogoeta egitera gonbidatzea izan da. Sukaldari profesionalak eta ekoizleek elkarlanean aritzearen garrantzia azpimarratu dute, eta etorkizuneko ikuspegiak partekatu dituzte.</t>
    </r>
  </si>
  <si>
    <r>
      <rPr>
        <sz val="9"/>
        <color rgb="FF000000"/>
        <rFont val="Arial"/>
        <family val="0"/>
        <charset val="1"/>
      </rPr>
      <t xml:space="preserve">Nazio Batuen Erakundeak (NBE) ohartarazi du 2024. urtea "beltza" izango dela alor humanitarioan, krisiak eta gatazkak areagotu egin direlako. 299,4 milioi pertsonak beharko dute laguntza humanitarioa, batez ere Ekialde Hurbilean, Ukrainan eta Sudanen. NBEk 43.000 milioi euro </t>
    </r>
    <r>
      <rPr>
        <sz val="9"/>
        <color rgb="FFFF0000"/>
        <rFont val="Arial"/>
        <family val="0"/>
        <charset val="1"/>
      </rPr>
      <t xml:space="preserve">eskatu ditu nazioarteari,</t>
    </r>
    <r>
      <rPr>
        <sz val="9"/>
        <color rgb="FF000000"/>
        <rFont val="Arial"/>
        <family val="0"/>
        <charset val="1"/>
      </rPr>
      <t xml:space="preserve"> baina zaila izan da hori lortzea, herrialde askok zailtasun ekonomikoak dituztelako. Erakundeak ohartarazi du ezin badu laguntza hori eman, jendeak bere bizitzarekin ordainduko</t>
    </r>
    <r>
      <rPr>
        <sz val="9"/>
        <color rgb="FFFF0000"/>
        <rFont val="Arial"/>
        <family val="0"/>
        <charset val="1"/>
      </rPr>
      <t xml:space="preserve"> du</t>
    </r>
    <r>
      <rPr>
        <sz val="9"/>
        <color rgb="FF000000"/>
        <rFont val="Arial"/>
        <family val="0"/>
        <charset val="1"/>
      </rPr>
      <t xml:space="preserve">.</t>
    </r>
  </si>
  <si>
    <r>
      <rPr>
        <sz val="9"/>
        <color rgb="FF000000"/>
        <rFont val="Arial"/>
        <family val="0"/>
        <charset val="1"/>
      </rPr>
      <t xml:space="preserve">Testuaren edukirik garrantzitsuena da 2024. urtea "beltza" izango dela alor humanitarioari dagokionez, krisien kopurua eta eskala handitzen ari direlako, eta Nazio Batuen Erakundearen (NBE) Giza Gaietarako idazkariorde nagusi eta Larrialdi Laguntzako koordinatzaileak, Martin Griffithsek, 43.000 milioi euro eskatu </t>
    </r>
    <r>
      <rPr>
        <sz val="9"/>
        <color rgb="FFFF0000"/>
        <rFont val="Arial"/>
        <family val="0"/>
        <charset val="1"/>
      </rPr>
      <t xml:space="preserve">ditu</t>
    </r>
    <r>
      <rPr>
        <strike val="true"/>
        <sz val="9"/>
        <color rgb="FFFF0000"/>
        <rFont val="Arial"/>
        <family val="0"/>
        <charset val="1"/>
      </rPr>
      <t xml:space="preserve">elako</t>
    </r>
    <r>
      <rPr>
        <sz val="9"/>
        <color rgb="FFFF0000"/>
        <rFont val="Arial"/>
        <family val="0"/>
        <charset val="1"/>
      </rPr>
      <t xml:space="preserve"> nazioarteari</t>
    </r>
    <r>
      <rPr>
        <sz val="9"/>
        <color rgb="FF000000"/>
        <rFont val="Arial"/>
        <family val="0"/>
        <charset val="1"/>
      </rPr>
      <t xml:space="preserve"> laguntza humanitarioa bermatzeko.
Laburki, 2024. urtean 299,4 milioi pertsonak beharko dute laguntza humanitarioa, batez ere Ekialde Hurbilean, Ukrainan eta Sudanen. Finantzaketa krisi handi bati aurre egin behar dio erakundeak, eta Griffithsek ohartarazi du ezin badugu laguntza hori eman, jendeak bere bizitzarekin ordainduko d</t>
    </r>
    <r>
      <rPr>
        <sz val="9"/>
        <color rgb="FFFF0000"/>
        <rFont val="Arial"/>
        <family val="0"/>
        <charset val="1"/>
      </rPr>
      <t xml:space="preserve">u.</t>
    </r>
  </si>
  <si>
    <r>
      <rPr>
        <sz val="9"/>
        <color rgb="FFB7B7B7"/>
        <rFont val="Arial"/>
        <family val="0"/>
        <charset val="1"/>
      </rPr>
      <t xml:space="preserve">Hurrengo da 5W1H metodoaren bidez testua laburtuta:
</t>
    </r>
    <r>
      <rPr>
        <sz val="9"/>
        <color rgb="FF000000"/>
        <rFont val="Arial"/>
        <family val="0"/>
        <charset val="1"/>
      </rPr>
      <t xml:space="preserve">
- **Zer:** 2024. urtea "beltza" izango da alor humanitarioari dagokionez, krisien kopurua eta eskala handitzen ari direlako.
- **Nork:** OCHA Gai Humanitarioak Koordinatzeko Nazio Batuen Bulegoak eta NBE Nazio Batuen Erakundearen Giza Gaietarako idazkariorde nagusi eta Larrialdi Laguntzako koordinatzaile Martin Griffithsek.
- **Noiz:** 2024. urtean.
- **Non:** Ekialde Hurbilean (Palestina eta Sirian), Ukrainan eta Sudanen, besteak beste.
- **Zergatik:** Gatazkak, klima larrialdia eta egoera ekonomiko</t>
    </r>
    <r>
      <rPr>
        <sz val="9"/>
        <color rgb="FFFF0000"/>
        <rFont val="Arial"/>
        <family val="0"/>
        <charset val="1"/>
      </rPr>
      <t xml:space="preserve">ek </t>
    </r>
    <r>
      <rPr>
        <sz val="9"/>
        <color rgb="FF000000"/>
        <rFont val="Arial"/>
        <family val="0"/>
        <charset val="1"/>
      </rPr>
      <t xml:space="preserve">okerrera egitea dira laguntzarako beharra eragiten duten faktoreetako batzuk.
- **Nola:** OCHAk 43.000 milioi euro eskatu dizkio nazioarteari laguntza humanitarioa bermatzeko.</t>
    </r>
  </si>
  <si>
    <r>
      <rPr>
        <sz val="9"/>
        <color rgb="FF000000"/>
        <rFont val="Arial"/>
        <family val="0"/>
        <charset val="1"/>
      </rPr>
      <t xml:space="preserve">Nazio Batuen Erakundearen arabera, 2024. urtea "beltza" izango da alor humanitarioari dagokionez, krisiak eta beharrak areagotu egin baitira. 299,4 milioi pertsonak beharko dute laguntza humanitarioa, batez ere Ekialde Hurbilean, Ukrainan eta Sudanen. NBEk 43.000 milioi euro </t>
    </r>
    <r>
      <rPr>
        <sz val="9"/>
        <color rgb="FFFF0000"/>
        <rFont val="Arial"/>
        <family val="0"/>
        <charset val="1"/>
      </rPr>
      <t xml:space="preserve">eskatu ditu nazioarteari</t>
    </r>
    <r>
      <rPr>
        <sz val="9"/>
        <color rgb="FF000000"/>
        <rFont val="Arial"/>
        <family val="0"/>
        <charset val="1"/>
      </rPr>
      <t xml:space="preserve">, baina ziurrenik ez du hori guztia jasoko, herrialde emaileen zailtasun ekonomikoak direla eta. Ekintzarik eza da OCHAren kezka nagusia, eta hori finantzaketa gutxiagorekin lotuta dago.</t>
    </r>
  </si>
  <si>
    <t xml:space="preserve">Oihane Jaka Irizarrek (Donostia, 1985) Itsaso amniotikoa poema liburua argitaratu du. Liburua hiru zatitan dago banatuta: 11 urte, 11 hilabete eta 11 egun. Liburuan, amatasuna eta sena ageri dira, eta galera da gai nagusia. Liburua idazteko, Karmele Igartua sormen beka jaso zuen 2022ko abenduan. Tere Irastorza poeta eta Idazle Eskolako irakaslea izan du laguntzaile.</t>
  </si>
  <si>
    <r>
      <rPr>
        <sz val="9"/>
        <color rgb="FFB7B7B7"/>
        <rFont val="Arial"/>
        <family val="0"/>
        <charset val="1"/>
      </rPr>
      <t xml:space="preserve">Edukirik garrantzitsuena: Oihane Jaka Irizarrek "Itsaso amniotikoa" poema liburua argitaratu du, Karmele Igartua sormen beka jaso ondoren.
Laburtutako testua:
</t>
    </r>
    <r>
      <rPr>
        <sz val="9"/>
        <color rgb="FF000000"/>
        <rFont val="Arial"/>
        <family val="0"/>
        <charset val="1"/>
      </rPr>
      <t xml:space="preserve">Oihane Jaka Irizarrek "Itsaso amniotikoa" poema liburua argitaratu du, Karmele Igartua sormen beka jaso ondoren. Liburua amatasunaren eta senaren inguruan </t>
    </r>
    <r>
      <rPr>
        <sz val="9"/>
        <color rgb="FFFF0000"/>
        <rFont val="Arial"/>
        <family val="0"/>
        <charset val="1"/>
      </rPr>
      <t xml:space="preserve">dago</t>
    </r>
    <r>
      <rPr>
        <sz val="9"/>
        <color rgb="FF000000"/>
        <rFont val="Arial"/>
        <family val="0"/>
        <charset val="1"/>
      </rPr>
      <t xml:space="preserve">, eta hiru zatitan dago egituratuta: 11 urte, 11 hilabete eta 11 egun. Liburuan, galera da gai osagarria, eta hiru ataletan ageri da. Bi metafora nagusi erabiltzen ditu: zuhaitzaren uztaia eta matrioxka. Oihane Jaka doktorea da Biologian eta zientziari estuki lotua, baina literaturarako eta poesiarako zaletasuna betidanikoa du.</t>
    </r>
  </si>
  <si>
    <r>
      <rPr>
        <sz val="9"/>
        <color rgb="FFB7B7B7"/>
        <rFont val="Arial"/>
        <family val="0"/>
        <charset val="1"/>
      </rPr>
      <t xml:space="preserve">Hurrengo da 5W1H metodoa erabiliz laburtutako testua:
</t>
    </r>
    <r>
      <rPr>
        <sz val="9"/>
        <color rgb="FF000000"/>
        <rFont val="Arial"/>
        <family val="0"/>
        <charset val="1"/>
      </rPr>
      <t xml:space="preserve">
* **Zer:** Oihane Jaka Irizarrek "Itsaso amniotikoa" poema liburua argitaratu du, Karmele Igartua sormen beka bati esker.
* **Nork:** Oihane Jaka Irizarrek, Idazle Eskolako ikasle ohiak eta Tere Irastorza poeta eta irakaslearen laguntzarekin.
* **Noiz:** 2022ko abenduan hasi zen proiektua, eta urtebeteko epean osatu da.
* **Non:** Euskal Herrian, zehazki Idazle Eskolan eta Aretxabaletako Udalaren babespean.
* **Zergatik:** Liburua amatasunari, senari eta galerari buruzko gaiak jorratzen ditu, eta egilearen </t>
    </r>
    <r>
      <rPr>
        <strike val="true"/>
        <sz val="9"/>
        <color rgb="FF000000"/>
        <rFont val="Arial"/>
        <family val="0"/>
        <charset val="1"/>
      </rPr>
      <t xml:space="preserve">bizipen pertsonalak</t>
    </r>
    <r>
      <rPr>
        <sz val="9"/>
        <color rgb="FF000000"/>
        <rFont val="Arial"/>
        <family val="0"/>
        <charset val="1"/>
      </rPr>
      <t xml:space="preserve"> islatzen ditu.
* **Nola:** Liburua hiru zatitan dago egituratuta, eta bertan zuhaitzaren uztaia eta matrioxka metaforak erabiltzen dira. Oihane Jakak minimalismoa eta hizkuntzaren jokoa erabili ditu poema liburua osatzeko.</t>
    </r>
  </si>
  <si>
    <r>
      <rPr>
        <sz val="9"/>
        <color rgb="FF000000"/>
        <rFont val="Arial"/>
        <family val="0"/>
        <charset val="1"/>
      </rPr>
      <t xml:space="preserve">Oihane Jaka Irizarrek "Itsaso amniotikoa" poema liburua idatzi du, Karmele Igartua sormen beka irabazi ondoren. Liburua hiru zatitan dago banatuta: 11 urte, 11 hilabete eta 11 egun, eta amatasunari, senari eta galerari buruzko gaiak jorratzen ditu. Liburuan zuhaitzaren uztaia eta matrioxka metaforak erabiltzen dira, eta galeraren gaiak zeharkatzen </t>
    </r>
    <r>
      <rPr>
        <sz val="9"/>
        <color rgb="FFFF0000"/>
        <rFont val="Arial"/>
        <family val="0"/>
        <charset val="1"/>
      </rPr>
      <t xml:space="preserve">du</t>
    </r>
    <r>
      <rPr>
        <sz val="9"/>
        <color rgb="FF000000"/>
        <rFont val="Arial"/>
        <family val="0"/>
        <charset val="1"/>
      </rPr>
      <t xml:space="preserve"> hiru atalak. Idazleak</t>
    </r>
    <r>
      <rPr>
        <strike val="true"/>
        <sz val="9"/>
        <color rgb="FF000000"/>
        <rFont val="Arial"/>
        <family val="0"/>
        <charset val="1"/>
      </rPr>
      <t xml:space="preserve"> bere bizitza pertsonalean oinarritutako</t>
    </r>
    <r>
      <rPr>
        <sz val="9"/>
        <color rgb="FF000000"/>
        <rFont val="Arial"/>
        <family val="0"/>
        <charset val="1"/>
      </rPr>
      <t xml:space="preserve"> poemak idatzi ditu, eta Tere Irastorza poetak eta Idazle Eskolako irakasleak lagundu dio prozesuan.</t>
    </r>
  </si>
  <si>
    <t xml:space="preserve">Iruñeko Alde Zaharrean pintaketa faxistak egin dituzte gauean, Erorien Monumentuaren aldeko mezuak nagusiki. Svastikak eta beste ikur faxista ere marraztu dituzte. EH Bilduren egoitzan ere ikur faxista margotu dituzte eta alderdiak salatu ditu pintaketa horiek.</t>
  </si>
  <si>
    <r>
      <rPr>
        <sz val="9"/>
        <color rgb="FF000000"/>
        <rFont val="Arial"/>
        <family val="0"/>
        <charset val="1"/>
      </rPr>
      <t xml:space="preserve">Testuaren edukirik garrantzitsuena Iruñeko Alde Zaharrean faxistek egin dituzten pintaketa faxistak dira, </t>
    </r>
    <r>
      <rPr>
        <sz val="9"/>
        <color rgb="FFFF0000"/>
        <rFont val="Arial"/>
        <family val="0"/>
        <charset val="1"/>
      </rPr>
      <t xml:space="preserve">Erroien</t>
    </r>
    <r>
      <rPr>
        <sz val="9"/>
        <color rgb="FF000000"/>
        <rFont val="Arial"/>
        <family val="0"/>
        <charset val="1"/>
      </rPr>
      <t xml:space="preserve"> Monumentuaren aldeko mezuak pintatu dituzte nagusiki, eta baita EH Bilduren egoitzaren kanpoaldean ere hainbat ikur faxista margotu dituzte. </t>
    </r>
    <r>
      <rPr>
        <u val="single"/>
        <sz val="9"/>
        <color rgb="FF000000"/>
        <rFont val="Arial"/>
        <family val="0"/>
        <charset val="1"/>
      </rPr>
      <t xml:space="preserve">Honek erakusten </t>
    </r>
    <r>
      <rPr>
        <u val="single"/>
        <sz val="9"/>
        <color rgb="FFFF0000"/>
        <rFont val="Arial"/>
        <family val="0"/>
        <charset val="1"/>
      </rPr>
      <t xml:space="preserve">dufaxismoaren</t>
    </r>
    <r>
      <rPr>
        <u val="single"/>
        <sz val="9"/>
        <color rgb="FF000000"/>
        <rFont val="Arial"/>
        <family val="0"/>
        <charset val="1"/>
      </rPr>
      <t xml:space="preserve"> presentzia eta jarrera intolerantea Nafarroako hiriburuan</t>
    </r>
    <r>
      <rPr>
        <sz val="9"/>
        <color rgb="FF000000"/>
        <rFont val="Arial"/>
        <family val="0"/>
        <charset val="1"/>
      </rPr>
      <t xml:space="preserve">, eta EH Bilduk salatu ditu pintaketa horiek.</t>
    </r>
  </si>
  <si>
    <t xml:space="preserve">Hurrengoak dira 5W1H metodoaren arabera testuaren laburpena:
* **Zer**: Pintaketa faxistak egin dituzte Iruñeko Alde Zaharrean, hain zuzen, San Frantzisko plazan eta inguruetan, baita EH Bilduren egoitzaren kanpoaldean ere.
* **Nork**: Faxistek egin dituzte pintaketa horiek.
* **Noiz**: Gauean egin dituzte pintaketa horiek, data zehatza ez da aipatzen baina aste batzuk lehenago hasitako protesten ondoren.
* **Non**: Iruñeko Alde Zaharrean, San Frantzisko plazan eta EH Bilduren egoitzaren kanpoaldean.
* **Zergatik**: Erorien Monumentuaren eraisketa eskatzeko eginiko protestengatik eta faxisten erantzun gisa.
* **Nola**: Pintaketa faxistak egin dituzte, svastikak, Daviden izarrak eta beste ikur faxista batzuk marraztuz, baita mezuak idatziz ere, hala nola "Los caidos no se tocan".</t>
  </si>
  <si>
    <r>
      <rPr>
        <sz val="9"/>
        <color rgb="FF000000"/>
        <rFont val="Arial"/>
        <family val="0"/>
        <charset val="1"/>
      </rPr>
      <t xml:space="preserve">Iruñeko Alde Zaharrean eta EH Bilduren egoitzaren kanpoaldean pintaketa faxistak agertu dira </t>
    </r>
    <r>
      <rPr>
        <strike val="true"/>
        <sz val="9"/>
        <color rgb="FF000000"/>
        <rFont val="Arial"/>
        <family val="0"/>
        <charset val="1"/>
      </rPr>
      <t xml:space="preserve">azken egunotan</t>
    </r>
    <r>
      <rPr>
        <sz val="9"/>
        <color rgb="FF000000"/>
        <rFont val="Arial"/>
        <family val="0"/>
        <charset val="1"/>
      </rPr>
      <t xml:space="preserve">. Svastikak, Daviden izarra eta beste ikur faxista batzuk marraztu dituzte, baita Erorien Monumentuaren aldeko mezuak ere. EH Bilduk salatu ditu bere egoitzan agertutako margoketak.</t>
    </r>
  </si>
  <si>
    <t xml:space="preserve">Europako Batzordeak energia eolikoaren sektorea babesteko eta bultzatzeko neurriak iragarri ditu, Siemens Gamesa, Vestas eta Nordex enpresen galerak kontuan hartuta. Neurri horien artean, enkanteak sinplifikatzea, prezio merkeenaren araberako irizpideak aldatzea, atzerriko lehiakideen praktika desleialak zaintzea eta finantzaketa-babesa handitzea daude. Horrez gain, Bruselak itsasoko proiektu eolikoak bizkortzea du helburu, eta estatuei energia berriztagarrien zabaltzearen lehentasunak zehaztea eskatuko die.</t>
  </si>
  <si>
    <r>
      <rPr>
        <sz val="9"/>
        <color rgb="FF000000"/>
        <rFont val="Arial"/>
        <family val="0"/>
        <charset val="1"/>
      </rPr>
      <t xml:space="preserve">Edukirik garrantzitsuena Europako Batzordearen asmoa da eoliko sektorea babestea eta proiektuak bizkorrago zabaltzeko neurriak hartzeko prest dagoela, hala nola, tramiteak arintzea eta kanpoko lehiakideen praktikak zaintzea. 
Testu laburtua:
Europako industria eolikoa krisian dago eta Europako Batzordea </t>
    </r>
    <r>
      <rPr>
        <sz val="9"/>
        <color rgb="FFFF0000"/>
        <rFont val="Arial"/>
        <family val="0"/>
        <charset val="1"/>
      </rPr>
      <t xml:space="preserve">laguntzetan bi emateko prest dago</t>
    </r>
    <r>
      <rPr>
        <sz val="9"/>
        <color rgb="FF000000"/>
        <rFont val="Arial"/>
        <family val="0"/>
        <charset val="1"/>
      </rPr>
      <t xml:space="preserve">. Honekin batera, proiektuak bizkorrago zabaltzeko, tramiteak arintzeko eta kanpoko lehiakideen praktikak zaintzeko neurriak prestatu ditu. Accelere-RES programa jaulkiko dute prozedurak azkartzeko eta energia berriztagarrien proiektuak azkarrago tramitatzeko gida prozedura eguneratu. Itsasoko proiektu eolikoak ere bizkortu nahi ditu Bruselak.</t>
    </r>
  </si>
  <si>
    <r>
      <rPr>
        <sz val="9"/>
        <color rgb="FFFF0000"/>
        <rFont val="Arial"/>
        <family val="0"/>
        <charset val="1"/>
      </rPr>
      <t xml:space="preserve">Hurrengo da 5W1H metodoaren aplikazioa testuari:
</t>
    </r>
    <r>
      <rPr>
        <sz val="9"/>
        <color rgb="FF000000"/>
        <rFont val="Arial"/>
        <family val="0"/>
        <charset val="1"/>
      </rPr>
      <t xml:space="preserve">
- **Zer**: Europako industria eolikoa laguntzeko neurriak hartu ditu Europako Batzordeak.
- **Nork**: Europako Batzordeak, Siemens Gamesa, Vestas eta Nordex enpresek, eta Kadri Simson Energia komisarioak.
- **Noiz**: Azaroaren 21ean, Siemens Gamesak bideragarritasun plana aurkeztuko du, eta urte amaierarako eta apirilerako, hurrenez hurren, online erreminta bat eta gida prozedura eguneratua jarriko dituzte abian.
- **Non**: Europa, Hego Euskal Herrian eta Bruselan.
- **Zergatik**: Industria eolikoak galera handiak dituelako, eta ekoizleak ez daudelako oso babestuta inflazio handitik eta lehengaien garestitzetik.
- **Nola**: Laguntza planak, tramiteak arintzea, kanpoko lehiakideen praktikak zaintzea, ekoizpen ahalmena handitzea, eta itsasoko proiektu eolikoak bizkortzea.</t>
    </r>
  </si>
  <si>
    <r>
      <rPr>
        <sz val="9"/>
        <color rgb="FF000000"/>
        <rFont val="Arial"/>
        <family val="0"/>
        <charset val="1"/>
      </rPr>
      <t xml:space="preserve">Europako Batzordeak energia eolikoaren sektorea babesteko neurriak hartuko ditu, industria eolikoko hiru ekoizle </t>
    </r>
    <r>
      <rPr>
        <sz val="9"/>
        <color rgb="FFFF0000"/>
        <rFont val="Arial"/>
        <family val="0"/>
        <charset val="1"/>
      </rPr>
      <t xml:space="preserve">handienak</t>
    </r>
    <r>
      <rPr>
        <sz val="9"/>
        <color rgb="FF000000"/>
        <rFont val="Arial"/>
        <family val="0"/>
        <charset val="1"/>
      </rPr>
      <t xml:space="preserve"> (Siemens Gamesa, Vestas eta Nordex) galera handiak dituztelako. Neurri horien artean, laguntza planak, enkanteen tramiteak arintzea, kanpoko lehiakideen praktikak zaintzea eta EIBren bermeak handitzea daude. Helburua da sektorea indartzea eta energia berriztagarrien zabaltzea bizkortzea.</t>
    </r>
  </si>
  <si>
    <r>
      <rPr>
        <sz val="9"/>
        <color rgb="FF000000"/>
        <rFont val="Arial"/>
        <family val="0"/>
        <charset val="1"/>
      </rPr>
      <t xml:space="preserve">Euskaltzaindiak Irailekoak poesia jaialdia antolatzen du, Eako Poesia Egunak ordezkatzeko. </t>
    </r>
    <r>
      <rPr>
        <strike val="true"/>
        <sz val="9"/>
        <color rgb="FF000000"/>
        <rFont val="Arial"/>
        <family val="0"/>
        <charset val="1"/>
      </rPr>
      <t xml:space="preserve">Lehenengo</t>
    </r>
    <r>
      <rPr>
        <sz val="9"/>
        <color rgb="FF000000"/>
        <rFont val="Arial"/>
        <family val="0"/>
        <charset val="1"/>
      </rPr>
      <t xml:space="preserve"> ekitaldia Itsasun (Lapurdi) egingo dute, irailaren 28 eta 29an. Euskal poeten lanak gizarteratzea da helburua, eta nazioarteko poetak ere izango dira. Programa zehatza irailean jakinaraziko dute. Aurrez, herriko erakusleihoak poeten bertso lerroz jantziko dituzte.</t>
    </r>
  </si>
  <si>
    <r>
      <rPr>
        <sz val="9"/>
        <color rgb="FF999999"/>
        <rFont val="Arial"/>
        <family val="0"/>
        <charset val="1"/>
      </rPr>
      <t xml:space="preserve">Testuaren edukirik garrantzitsuena Euskaltzaindiak antolatutako Irailekoak poesia jaialdia da, Eako Poesia Egunak ordezkatzeko sortua. 
Laburtutako testua:
</t>
    </r>
    <r>
      <rPr>
        <sz val="9"/>
        <color rgb="FF000000"/>
        <rFont val="Arial"/>
        <family val="0"/>
        <charset val="1"/>
      </rPr>
      <t xml:space="preserve">Euskaltzaindiak Irailekoak poesia jaialdia antolatu du, Eako Poesia Egunak ordezkatzeko. </t>
    </r>
    <r>
      <rPr>
        <strike val="true"/>
        <sz val="9"/>
        <color rgb="FF000000"/>
        <rFont val="Arial"/>
        <family val="0"/>
        <charset val="1"/>
      </rPr>
      <t xml:space="preserve">Lehenengo</t>
    </r>
    <r>
      <rPr>
        <sz val="9"/>
        <color rgb="FF000000"/>
        <rFont val="Arial"/>
        <family val="0"/>
        <charset val="1"/>
      </rPr>
      <t xml:space="preserve"> ekitaldia Itsasun (Lapurdi) egingo dute, irailaren 28 eta 29an. Euskal poeten lana gizarteratzea da helburua, eta nazioarteko poetak ere izango dira. Erakusleihoetan poemak erakutsiko dituzte, eta hitzaldiak eta irakurraldiak izango dira.</t>
    </r>
  </si>
  <si>
    <r>
      <rPr>
        <sz val="9"/>
        <color rgb="FF000000"/>
        <rFont val="Arial"/>
        <family val="0"/>
        <charset val="1"/>
      </rPr>
      <t xml:space="preserve">Hona 5W1H metodoaren bidez testua laburtuta:
* **Zer**: Irailekoak poesia jaialdia, Eako Poesia Egunen ordezkoa.
* **Nork**: Euskaltzaindiak antolatuta, Itsasuko Herriko Etxearekin, Euskal Kultur Erakundearekin eta Euskararen Erakunde Publikoarekin elkarlanean.
* **Noiz**: Irailaren 28an eta 29an.
* **Non**: Itsasun (Lapurdi).
* **Zergatik**: Eako Poesia Egunak bukatu zirelako eta euskal poeten lana </t>
    </r>
    <r>
      <rPr>
        <sz val="9"/>
        <color rgb="FFFF0000"/>
        <rFont val="Arial"/>
        <family val="0"/>
        <charset val="1"/>
      </rPr>
      <t xml:space="preserve">gizarteratzea</t>
    </r>
    <r>
      <rPr>
        <sz val="9"/>
        <color rgb="FF000000"/>
        <rFont val="Arial"/>
        <family val="0"/>
        <charset val="1"/>
      </rPr>
      <t xml:space="preserve">.
* **Nola**: Hitzaldiak, irakurraldiak eta poemak erakusleihoetan, besteak beste.</t>
    </r>
  </si>
  <si>
    <r>
      <rPr>
        <sz val="9"/>
        <color rgb="FF000000"/>
        <rFont val="Arial"/>
        <family val="0"/>
        <charset val="1"/>
      </rPr>
      <t xml:space="preserve">Euskaltzaindiak Irailekoak poesia jaialdia antolatzen du, Eako Poesia Egunak ordezkatzeko. </t>
    </r>
    <r>
      <rPr>
        <strike val="true"/>
        <sz val="9"/>
        <color rgb="FF000000"/>
        <rFont val="Arial"/>
        <family val="0"/>
        <charset val="1"/>
      </rPr>
      <t xml:space="preserve">Lehenengo</t>
    </r>
    <r>
      <rPr>
        <sz val="9"/>
        <color rgb="FF000000"/>
        <rFont val="Arial"/>
        <family val="0"/>
        <charset val="1"/>
      </rPr>
      <t xml:space="preserve"> ekitaldia Itsasun (Lapurdi) egingo dute, irailaren 28 eta 29an, eta euskal eta </t>
    </r>
    <r>
      <rPr>
        <strike val="true"/>
        <sz val="9"/>
        <color rgb="FF000000"/>
        <rFont val="Arial"/>
        <family val="0"/>
        <charset val="1"/>
      </rPr>
      <t xml:space="preserve">nazioarteko</t>
    </r>
    <r>
      <rPr>
        <sz val="9"/>
        <color rgb="FF000000"/>
        <rFont val="Arial"/>
        <family val="0"/>
        <charset val="1"/>
      </rPr>
      <t xml:space="preserve"> poeten lana gizarteratzea du helburu.</t>
    </r>
  </si>
  <si>
    <t xml:space="preserve">Galeusca topaketak berreskuratuko dituzte maiatzaren 29an, hamar urteko etenaldiaren ondoren. Euskal Idazleen Elkarteak, Katalanezko Idazleen Elkarteak eta Galizierazko Idazleen Elkarteak antolatzen dituzte, eta hiru literaturak indartzeko asmoa dute. Itzulpengintza izango da ardatza eta manifestu bat irakurriko dute. Topaketa honek hiru literatura nazionalen arteko harremana berritzea du helburu, eta idazleek elkar ezagutzeko aukera izango dute.</t>
  </si>
  <si>
    <t xml:space="preserve">Testuaren edukirik garrantzitsuena da Euskal Idazleen Elkarteak, Katalanezko Idazleen Elkarteak eta Galizierazko Idazleen Elkarteak Galeusca topaketak berreskuratzea, hamar urteko etenaldiaren ondoren. Topaketen helburua da hiru literatura nazionalen arteko zubiak indartzea eta hizkuntza eta kultura nazionalak babestea, Espainiako estatuan gertatzen ari den atzeraldiaren aurrean.
Laburtutako testua:
Euskal Idazleen Elkarteak, Katalanezko Idazleen Elkarteak eta Galizierazko Idazleen Elkarteak Galeusca topaketak berreskuratuko dituzte maiatzaren 29an, Palman. Topaketen helburua da hiru literatura nazionalen arteko zubiak indartzea eta hizkuntza eta kultura nazionalak babestea, Espainiako estatuan gertatzen ari den atzeraldiaren aurrean.</t>
  </si>
  <si>
    <r>
      <rPr>
        <sz val="9"/>
        <color rgb="FF000000"/>
        <rFont val="Arial"/>
        <family val="0"/>
        <charset val="1"/>
      </rPr>
      <t xml:space="preserve">Hona 5W1H metodoaren aplikazioa testuari:
* **Zer**: Galeusca topaketa berreskuratzea, hiru literaturen (euskara, katalana eta galiziera) arteko zubiak indartzea eta itzulpengintza sustatzea.
* **Nork**: Euskal Idazleen Elkartea, Katalanezko Idazleen Elkartea eta Galizierazko Idazleen Elkartea, Joxemari Karrere Zabala ipuin kontalari, aktore eta Euskal Idazleen Elkarteko ordezkariaren gidaritzapean.
* **Noiz**: Maiatzaren 29an, egun beteko programa antolatuta, eta 40 urteko </t>
    </r>
    <r>
      <rPr>
        <sz val="9"/>
        <color rgb="FFFF0000"/>
        <rFont val="Arial"/>
        <family val="0"/>
        <charset val="1"/>
      </rPr>
      <t xml:space="preserve">epean</t>
    </r>
    <r>
      <rPr>
        <sz val="9"/>
        <color rgb="FF000000"/>
        <rFont val="Arial"/>
        <family val="0"/>
        <charset val="1"/>
      </rPr>
      <t xml:space="preserve">, lehen Galeusca egin zenetik.
* **Non**: Palman (Balearrak).
* **Zergatik**: Indarrak batzeko beharra sentitu dute, kontrarreforma baten aurrean, eta hiru literaturen arteko harremanak </t>
    </r>
    <r>
      <rPr>
        <sz val="9"/>
        <color rgb="FFFF0000"/>
        <rFont val="Arial"/>
        <family val="0"/>
        <charset val="1"/>
      </rPr>
      <t xml:space="preserve">indartzea</t>
    </r>
    <r>
      <rPr>
        <sz val="9"/>
        <color rgb="FF000000"/>
        <rFont val="Arial"/>
        <family val="0"/>
        <charset val="1"/>
      </rPr>
      <t xml:space="preserve">, itzulpengintza </t>
    </r>
    <r>
      <rPr>
        <sz val="9"/>
        <color rgb="FFFF0000"/>
        <rFont val="Arial"/>
        <family val="0"/>
        <charset val="1"/>
      </rPr>
      <t xml:space="preserve">sustatzea</t>
    </r>
    <r>
      <rPr>
        <sz val="9"/>
        <color rgb="FF000000"/>
        <rFont val="Arial"/>
        <family val="0"/>
        <charset val="1"/>
      </rPr>
      <t xml:space="preserve"> eta estatuan proposatzen diren aldaketetan ahots bakarra </t>
    </r>
    <r>
      <rPr>
        <sz val="9"/>
        <color rgb="FFFF0000"/>
        <rFont val="Arial"/>
        <family val="0"/>
        <charset val="1"/>
      </rPr>
      <t xml:space="preserve">lortzea</t>
    </r>
    <r>
      <rPr>
        <sz val="9"/>
        <color rgb="FF000000"/>
        <rFont val="Arial"/>
        <family val="0"/>
        <charset val="1"/>
      </rPr>
      <t xml:space="preserve">.
* **Nola**: Manifestu bat irakurriz hasita, eta egun beteko programa antolatuta, hitzaldiak, irakurketak eta topaketen bitartez.</t>
    </r>
  </si>
  <si>
    <t xml:space="preserve">Galeusca topaketak berreskuratu dira, hamar urteko etenaren ondoren, hiru hizkuntza (euskara, katalana eta galiziera) eta haien literaturak elkarlanean jartzeko eta indartzeko. Topaketak itzulpengintza izango du ardatz, eta maiatzaren 29an egingo da Palman (Balearrak).</t>
  </si>
  <si>
    <t xml:space="preserve">EAJk Euskadiko estatus berri bat lortzeko pausoa eman nahi du hurrengo legegintzaldian, Andoni Ortuzarrek adierazi duenez. EAJk, EH Bilduk eta PSE-EEk akordio bat lortzea espero dute, eta urte eta erdian proposamen bat aurkeztuko dute. Espainiako Gobernuarekin Gernikako Estatutuaren aplikazioari buruzko akordioa sinatu dutela kontuan hartuta, baldintzak daudela uste dute aurrera egiteko.
Bestalde, EH Bilduko Arnaldo Otegik adierazpen horiek erantzun ditu, eta argitu du jendeak nahi duena errespetatzen bada, akordio bat posible dela. Otegiren ustez, sozialistek ulertu behar dute Araban, Bizkaian eta Gipuzkoan herritarren %70ek "abertzaleen" alde bozkatu dutela.
Gainera, Sumar koalizioak jakinarazi du Araba, Bizkai eta Gipuzkoarako estatutu berri bat defendatuko duela, zeinak eskubide sozialen alde eginen duen, horien "nazio izaera" aitortuko duen eta "herritarren aniztasuna kohesionatuko" duen.</t>
  </si>
  <si>
    <t xml:space="preserve">Edukirik garrantzitsuena da EAJk, EH Bilduk eta PSE-EEk Euskadiren estatus berria negoziatzeko asmoa dutela, eta hau lortzeko urte eta erdian proposamen bat onduko dutela.
Laburtutako testua:
EAJk, EH Bilduk eta PSE-EEk Euskadiren estatus berria negoziatzeko asmoa dute. EAJk urte eta erdian proposamen bat onduko du, eta sinestita daude hiru aldeak akordio batera iritsiko direla. EH Bilduk ere adierazpenak egin ditu, eta uste du akordio bat posible dela, baina PSE-EEk errespetatu behar duela herritarren nahia. Sumarrek, bestalde, Araba, Bizkai eta Gipuzkoarako estatutu berri bat defendatuko du, eskubide sozialen alde egingo duena eta herritarren aniztasuna kohesionatuko duena.</t>
  </si>
  <si>
    <r>
      <rPr>
        <sz val="9"/>
        <color rgb="FF000000"/>
        <rFont val="Arial"/>
        <family val="0"/>
        <charset val="1"/>
      </rPr>
      <t xml:space="preserve">Hemen da 5W1H metodoaren bidez egindako laburpena:
* **Zer**: EAJk Euskadiri estatus berria emateko asmoa du, eta horretarako EH Bildu eta PSE-EErekin akordio bat lortu nahi du.
* **Nork**: Andoni Ortuzar (EAJko lehendakaria), Arnaldo Otegi (EH Bilduko koordinatzaile nagusia) eta Sumar koalizioa.
* **Noiz**: Datorren legegintzaldian, urte eta erdian proposamen bat onduko dute.
* **Non**: Euskadi.
* **Zergatik**: EAJk estatus berria eman nahi dio Euskadiari, eta EH Bilduk eta PSE-EErekin akordio bat lortu nahi du.
* **Nola**: EAJk sozialistekin duen akordioari eutsi gogo diola, eta espero du astelehenean hasiko den negoziazioa "ondo amaitzea". </t>
    </r>
    <r>
      <rPr>
        <strike val="true"/>
        <sz val="9"/>
        <color rgb="FF000000"/>
        <rFont val="Arial"/>
        <family val="0"/>
        <charset val="1"/>
      </rPr>
      <t xml:space="preserve">EH Bilduk, berriz, "erradikaltasunean" erortzeko arriskua ikusten du</t>
    </r>
    <r>
      <rPr>
        <sz val="9"/>
        <color rgb="FF000000"/>
        <rFont val="Arial"/>
        <family val="0"/>
        <charset val="1"/>
      </rPr>
      <t xml:space="preserve">, baina akordio bat posible dela uste du. Sumarrek Araba, Bizkai eta Gipuzkoarako estatutu berri bat defendatuko du, zeinak eskubide sozialen alde eginen duen.</t>
    </r>
  </si>
  <si>
    <t xml:space="preserve">EAJk Euskadiri estatus berria emateko pausoak emango dituela iragarri du Andoni Ortuzarrek. Bestalde, EH Bilduk akordio bat egiteko aukerak ikusten ditu, baina PSE-EEri pauso etiko bat emateko eskatu dio. Sumarrek, aldiz, Araba, Bizkai eta Gipuzkoarako estatutu berri bat defendatuko du, zeinak eskubide sozialei eta nazio izaerari garrantzia ematen dien.</t>
  </si>
  <si>
    <t xml:space="preserve">PROMPTS</t>
  </si>
  <si>
    <t xml:space="preserve">Resume el siguiente texto.\n\n{text}</t>
  </si>
  <si>
    <t xml:space="preserve">Piensa bien cuál es el contenido más relevante en el siguiente texto y resúmelo usando el contenido más relevante.\n\n{text}</t>
  </si>
  <si>
    <t xml:space="preserve">Resume el siguiente texto usando el método de las 5W1H (qué, quién, cuándo, dónde, por qué, cómo).\n\n{text}</t>
  </si>
  <si>
    <t xml:space="preserve">{text}\n\ntldr:</t>
  </si>
  <si>
    <t xml:space="preserve">HUMAN SUMMARIES</t>
  </si>
  <si>
    <t xml:space="preserve">Human-generated XLSum-like summary (i.e., the heading of the article)</t>
  </si>
  <si>
    <t xml:space="preserve">Summary generated manually by Jeremy</t>
  </si>
  <si>
    <t xml:space="preserve">Begoña</t>
  </si>
  <si>
    <t xml:space="preserve">Summary generated manually by Begoña</t>
  </si>
  <si>
    <t xml:space="preserve">Alba</t>
  </si>
  <si>
    <t xml:space="preserve">Summary generated manually by Alba</t>
  </si>
  <si>
    <t xml:space="preserve">Naiara</t>
  </si>
  <si>
    <t xml:space="preserve">Summary generated manually by Naiara</t>
  </si>
  <si>
    <t xml:space="preserve">ANNOTATION GUIDELINES</t>
  </si>
  <si>
    <t xml:space="preserve">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</si>
  <si>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 xml:space="preserve">The factual alignment between the summary and the summarized source. A factually consistent summary contains only statements that are entailed by the source document. Annotators were also asked to penalize summaries that contained hallucinated facts.</t>
  </si>
  <si>
    <t xml:space="preserve">The quality of individual sentences. Drawing again from the DUC quality guidelines, sentences in the summary "should have no formatting problems, capitalization errors or obviously ungrammatical sentences (e.g., fragments, missing components) that make the text difficult to read."</t>
  </si>
  <si>
    <t xml:space="preserve">Selection of important content from the source. The summary should include only important information from the source document.</t>
  </si>
  <si>
    <t xml:space="preserve">Selection of important content from the source. The summary should include ALL the important information from the source document (the important information being the 5W1H in the source).</t>
  </si>
  <si>
    <t xml:space="preserve">TEXT ANNOTATION KEY</t>
  </si>
  <si>
    <t xml:space="preserve">text</t>
  </si>
  <si>
    <t xml:space="preserve">model hallucination (penalizes consistency)</t>
  </si>
  <si>
    <t xml:space="preserve">model "hallucination" that introduces correct information</t>
  </si>
  <si>
    <t xml:space="preserve">"conversational" or "metalinguistic" model output that is not to be considered as part of the summary (e.g., "Here is the summary:", "This text is about...") </t>
  </si>
  <si>
    <t xml:space="preserve">what</t>
  </si>
  <si>
    <t xml:space="preserve">who</t>
  </si>
  <si>
    <t xml:space="preserve">when</t>
  </si>
  <si>
    <t xml:space="preserve">where</t>
  </si>
  <si>
    <t xml:space="preserve">why</t>
  </si>
  <si>
    <t xml:space="preserve">how</t>
  </si>
  <si>
    <t xml:space="preserve"> model key</t>
  </si>
  <si>
    <t xml:space="preserve">prompt key</t>
  </si>
</sst>
</file>

<file path=xl/styles.xml><?xml version="1.0" encoding="utf-8"?>
<styleSheet xmlns="http://schemas.openxmlformats.org/spreadsheetml/2006/main">
  <numFmts count="5">
    <numFmt numFmtId="164" formatCode="General"/>
    <numFmt numFmtId="165" formatCode="0.00"/>
    <numFmt numFmtId="166" formatCode="0\ %"/>
    <numFmt numFmtId="167" formatCode="#,##0.00"/>
    <numFmt numFmtId="168" formatCode="General"/>
  </numFmts>
  <fonts count="41">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b val="true"/>
      <sz val="11"/>
      <color rgb="FFFFFFFF"/>
      <name val="Arial"/>
      <family val="0"/>
      <charset val="1"/>
    </font>
    <font>
      <u val="single"/>
      <sz val="11"/>
      <color rgb="FF0000FF"/>
      <name val="Cambria"/>
      <family val="0"/>
      <charset val="1"/>
    </font>
    <font>
      <sz val="9"/>
      <color rgb="FF4285F4"/>
      <name val="Arial"/>
      <family val="0"/>
      <charset val="1"/>
    </font>
    <font>
      <sz val="10"/>
      <name val="Arial"/>
      <family val="2"/>
    </font>
    <font>
      <b val="true"/>
      <sz val="9"/>
      <color rgb="FF000000"/>
      <name val="Arial"/>
      <family val="0"/>
      <charset val="1"/>
    </font>
    <font>
      <b val="true"/>
      <sz val="9"/>
      <color theme="1"/>
      <name val="Arial"/>
      <family val="0"/>
      <charset val="1"/>
    </font>
    <font>
      <b val="true"/>
      <u val="single"/>
      <sz val="11"/>
      <color rgb="FF0000FF"/>
      <name val="Cambria"/>
      <family val="0"/>
      <charset val="1"/>
    </font>
    <font>
      <sz val="9"/>
      <color rgb="FF000000"/>
      <name val="Arial"/>
      <family val="0"/>
      <charset val="1"/>
    </font>
    <font>
      <sz val="9"/>
      <color theme="1"/>
      <name val="Arial"/>
      <family val="0"/>
      <charset val="1"/>
    </font>
    <font>
      <b val="true"/>
      <u val="single"/>
      <sz val="11"/>
      <color rgb="FF1155CC"/>
      <name val="Arial"/>
      <family val="0"/>
      <charset val="1"/>
    </font>
    <font>
      <strike val="true"/>
      <sz val="9"/>
      <color rgb="FF000000"/>
      <name val="Arial"/>
      <family val="0"/>
      <charset val="1"/>
    </font>
    <font>
      <sz val="9"/>
      <color rgb="FFB7B7B7"/>
      <name val="Arial"/>
      <family val="0"/>
      <charset val="1"/>
    </font>
    <font>
      <sz val="9"/>
      <color rgb="FFFF0000"/>
      <name val="Arial"/>
      <family val="0"/>
      <charset val="1"/>
    </font>
    <font>
      <strike val="true"/>
      <sz val="9"/>
      <color theme="1"/>
      <name val="Arial"/>
      <family val="0"/>
      <charset val="1"/>
    </font>
    <font>
      <strike val="true"/>
      <sz val="9"/>
      <color rgb="FF999999"/>
      <name val="Arial"/>
      <family val="0"/>
      <charset val="1"/>
    </font>
    <font>
      <sz val="9"/>
      <color rgb="FF999999"/>
      <name val="Arial"/>
      <family val="0"/>
      <charset val="1"/>
    </font>
    <font>
      <u val="single"/>
      <sz val="9"/>
      <color rgb="FF000000"/>
      <name val="Arial"/>
      <family val="0"/>
      <charset val="1"/>
    </font>
    <font>
      <strike val="true"/>
      <u val="single"/>
      <sz val="9"/>
      <color rgb="FF000000"/>
      <name val="Arial"/>
      <family val="0"/>
      <charset val="1"/>
    </font>
    <font>
      <i val="true"/>
      <sz val="9"/>
      <color theme="1"/>
      <name val="Arial"/>
      <family val="0"/>
      <charset val="1"/>
    </font>
    <font>
      <i val="true"/>
      <strike val="true"/>
      <sz val="9"/>
      <color theme="1"/>
      <name val="Arial"/>
      <family val="0"/>
      <charset val="1"/>
    </font>
    <font>
      <i val="true"/>
      <strike val="true"/>
      <sz val="9"/>
      <color rgb="FFFF0000"/>
      <name val="Arial"/>
      <family val="0"/>
      <charset val="1"/>
    </font>
    <font>
      <strike val="true"/>
      <sz val="9"/>
      <color rgb="FFFF0000"/>
      <name val="Arial"/>
      <family val="0"/>
      <charset val="1"/>
    </font>
    <font>
      <sz val="9"/>
      <color rgb="FFCCCCCC"/>
      <name val="Arial"/>
      <family val="0"/>
      <charset val="1"/>
    </font>
    <font>
      <u val="single"/>
      <sz val="9"/>
      <color rgb="FFFF0000"/>
      <name val="Arial"/>
      <family val="0"/>
      <charset val="1"/>
    </font>
    <font>
      <b val="true"/>
      <strike val="true"/>
      <sz val="11"/>
      <color theme="1"/>
      <name val="Arial"/>
      <family val="0"/>
      <charset val="1"/>
    </font>
    <font>
      <b val="true"/>
      <u val="single"/>
      <sz val="11"/>
      <color theme="1"/>
      <name val="Arial"/>
      <family val="0"/>
      <charset val="1"/>
    </font>
    <font>
      <b val="true"/>
      <sz val="11"/>
      <color rgb="FF999999"/>
      <name val="Arial"/>
      <family val="0"/>
      <charset val="1"/>
    </font>
    <font>
      <b val="true"/>
      <sz val="11"/>
      <color rgb="FF38761D"/>
      <name val="Arial"/>
      <family val="0"/>
      <charset val="1"/>
    </font>
    <font>
      <b val="true"/>
      <sz val="11"/>
      <color rgb="FFFF0000"/>
      <name val="Arial"/>
      <family val="0"/>
      <charset val="1"/>
    </font>
    <font>
      <b val="true"/>
      <sz val="11"/>
      <color rgb="FF4A86E8"/>
      <name val="Arial"/>
      <family val="0"/>
      <charset val="1"/>
    </font>
    <font>
      <b val="true"/>
      <sz val="11"/>
      <color rgb="FFFF9900"/>
      <name val="Arial"/>
      <family val="0"/>
      <charset val="1"/>
    </font>
    <font>
      <b val="true"/>
      <sz val="11"/>
      <color rgb="FF674EA7"/>
      <name val="Arial"/>
      <family val="0"/>
      <charset val="1"/>
    </font>
    <font>
      <b val="true"/>
      <sz val="11"/>
      <color rgb="FFBF9000"/>
      <name val="Arial"/>
      <family val="0"/>
      <charset val="1"/>
    </font>
    <font>
      <u val="single"/>
      <sz val="11"/>
      <color rgb="FF1155CC"/>
      <name val="Arial"/>
      <family val="0"/>
      <charset val="1"/>
    </font>
    <font>
      <i val="true"/>
      <sz val="11"/>
      <color theme="1"/>
      <name val="Arial"/>
      <family val="0"/>
      <charset val="1"/>
    </font>
  </fonts>
  <fills count="64">
    <fill>
      <patternFill patternType="none"/>
    </fill>
    <fill>
      <patternFill patternType="gray125"/>
    </fill>
    <fill>
      <patternFill patternType="solid">
        <fgColor rgb="FF000000"/>
        <bgColor rgb="FF0000FF"/>
      </patternFill>
    </fill>
    <fill>
      <patternFill patternType="solid">
        <fgColor rgb="FFFFFCFC"/>
        <bgColor rgb="FFFFFDFD"/>
      </patternFill>
    </fill>
    <fill>
      <patternFill patternType="solid">
        <fgColor rgb="FFFFFFFF"/>
        <bgColor rgb="FFFFFEFE"/>
      </patternFill>
    </fill>
    <fill>
      <patternFill patternType="solid">
        <fgColor rgb="FFFFFAFA"/>
        <bgColor rgb="FFFEF9F9"/>
      </patternFill>
    </fill>
    <fill>
      <patternFill patternType="solid">
        <fgColor rgb="FFFDF2F1"/>
        <bgColor rgb="FFFDF1F0"/>
      </patternFill>
    </fill>
    <fill>
      <patternFill patternType="solid">
        <fgColor rgb="FFFDF4F3"/>
        <bgColor rgb="FFFDF3F3"/>
      </patternFill>
    </fill>
    <fill>
      <patternFill patternType="solid">
        <fgColor rgb="FFFCEEED"/>
        <bgColor rgb="FFFCEDEC"/>
      </patternFill>
    </fill>
    <fill>
      <patternFill patternType="solid">
        <fgColor rgb="FFF9DCDA"/>
        <bgColor rgb="FFF9DBD8"/>
      </patternFill>
    </fill>
    <fill>
      <patternFill patternType="solid">
        <fgColor rgb="FFFEF9F9"/>
        <bgColor rgb="FFFEF8F8"/>
      </patternFill>
    </fill>
    <fill>
      <patternFill patternType="solid">
        <fgColor rgb="FFFCEBEA"/>
        <bgColor rgb="FFFCECEB"/>
      </patternFill>
    </fill>
    <fill>
      <patternFill patternType="solid">
        <fgColor rgb="FFFDF3F3"/>
        <bgColor rgb="FFFDF4F3"/>
      </patternFill>
    </fill>
    <fill>
      <patternFill patternType="solid">
        <fgColor rgb="FFFBE4E2"/>
        <bgColor rgb="FFFBE5E3"/>
      </patternFill>
    </fill>
    <fill>
      <patternFill patternType="solid">
        <fgColor rgb="FFFDEFEE"/>
        <bgColor rgb="FFFDF0EF"/>
      </patternFill>
    </fill>
    <fill>
      <patternFill patternType="solid">
        <fgColor rgb="FFFBE5E3"/>
        <bgColor rgb="FFFBE4E2"/>
      </patternFill>
    </fill>
    <fill>
      <patternFill patternType="solid">
        <fgColor rgb="FFFDF0EF"/>
        <bgColor rgb="FFFDF1F0"/>
      </patternFill>
    </fill>
    <fill>
      <patternFill patternType="solid">
        <fgColor rgb="FFF7CFCC"/>
        <bgColor rgb="FFF7D3CF"/>
      </patternFill>
    </fill>
    <fill>
      <patternFill patternType="darkGray">
        <fgColor rgb="FFEEC3C1"/>
        <bgColor rgb="FFF3BDB8"/>
      </patternFill>
    </fill>
    <fill>
      <patternFill patternType="solid">
        <fgColor rgb="FFF6CBC6"/>
        <bgColor rgb="FFF7CFCC"/>
      </patternFill>
    </fill>
    <fill>
      <patternFill patternType="solid">
        <fgColor rgb="FFF9DBD8"/>
        <bgColor rgb="FFF9DCDA"/>
      </patternFill>
    </fill>
    <fill>
      <patternFill patternType="solid">
        <fgColor rgb="FFFAE0DE"/>
        <bgColor rgb="FFFAE1DF"/>
      </patternFill>
    </fill>
    <fill>
      <patternFill patternType="darkGray">
        <fgColor rgb="FFF8D8D5"/>
        <bgColor rgb="FFF8D6D3"/>
      </patternFill>
    </fill>
    <fill>
      <patternFill patternType="solid">
        <fgColor rgb="FFFEF6F6"/>
        <bgColor rgb="FFFEF5F5"/>
      </patternFill>
    </fill>
    <fill>
      <patternFill patternType="solid">
        <fgColor rgb="FFFAE1DF"/>
        <bgColor rgb="FFFAE0DE"/>
      </patternFill>
    </fill>
    <fill>
      <patternFill patternType="solid">
        <fgColor rgb="FFFADFDD"/>
        <bgColor rgb="FFFAE0DE"/>
      </patternFill>
    </fill>
    <fill>
      <patternFill patternType="solid">
        <fgColor rgb="FFFDF1F0"/>
        <bgColor rgb="FFFDF2F1"/>
      </patternFill>
    </fill>
    <fill>
      <patternFill patternType="darkGray">
        <fgColor rgb="FFF1ADA8"/>
        <bgColor rgb="FFF3B8B3"/>
      </patternFill>
    </fill>
    <fill>
      <patternFill patternType="solid">
        <fgColor rgb="FFF3BDB8"/>
        <bgColor rgb="FFF3BBB6"/>
      </patternFill>
    </fill>
    <fill>
      <patternFill patternType="solid">
        <fgColor rgb="FFFCEDEC"/>
        <bgColor rgb="FFFCEEED"/>
      </patternFill>
    </fill>
    <fill>
      <patternFill patternType="solid">
        <fgColor rgb="FFF1ADA8"/>
        <bgColor rgb="FFF3B8B3"/>
      </patternFill>
    </fill>
    <fill>
      <patternFill patternType="solid">
        <fgColor rgb="FFF8D6D3"/>
        <bgColor rgb="FFF8D8D5"/>
      </patternFill>
    </fill>
    <fill>
      <patternFill patternType="solid">
        <fgColor rgb="FFFBE8E7"/>
        <bgColor rgb="FFFBE9E8"/>
      </patternFill>
    </fill>
    <fill>
      <patternFill patternType="solid">
        <fgColor rgb="FFEB9189"/>
        <bgColor rgb="FFED9992"/>
      </patternFill>
    </fill>
    <fill>
      <patternFill patternType="darkGray">
        <fgColor rgb="FFF7CFCC"/>
        <bgColor rgb="FFF7D3CF"/>
      </patternFill>
    </fill>
    <fill>
      <patternFill patternType="solid">
        <fgColor rgb="FFF3B8B3"/>
        <bgColor rgb="FFF3BBB6"/>
      </patternFill>
    </fill>
    <fill>
      <patternFill patternType="darkGray">
        <fgColor rgb="FFED9992"/>
        <bgColor rgb="FFEB9189"/>
      </patternFill>
    </fill>
    <fill>
      <patternFill patternType="solid">
        <fgColor rgb="FFF8D8D5"/>
        <bgColor rgb="FFF8D6D3"/>
      </patternFill>
    </fill>
    <fill>
      <patternFill patternType="solid">
        <fgColor rgb="FFFAE2E0"/>
        <bgColor rgb="FFFAE3E0"/>
      </patternFill>
    </fill>
    <fill>
      <patternFill patternType="solid">
        <fgColor rgb="FFFEF5F5"/>
        <bgColor rgb="FFFEF5F4"/>
      </patternFill>
    </fill>
    <fill>
      <patternFill patternType="solid">
        <fgColor rgb="FFFEF8F8"/>
        <bgColor rgb="FFFEF9F9"/>
      </patternFill>
    </fill>
    <fill>
      <patternFill patternType="solid">
        <fgColor rgb="FFFBE9E8"/>
        <bgColor rgb="FFFBE8E7"/>
      </patternFill>
    </fill>
    <fill>
      <patternFill patternType="solid">
        <fgColor rgb="FFF3BBB6"/>
        <bgColor rgb="FFF3BDB8"/>
      </patternFill>
    </fill>
    <fill>
      <patternFill patternType="solid">
        <fgColor rgb="FFFBE6E5"/>
        <bgColor rgb="FFFBE7E6"/>
      </patternFill>
    </fill>
    <fill>
      <patternFill patternType="solid">
        <fgColor rgb="FFFCECEB"/>
        <bgColor rgb="FFFCEBEA"/>
      </patternFill>
    </fill>
    <fill>
      <patternFill patternType="solid">
        <fgColor rgb="FFFEF7F7"/>
        <bgColor rgb="FFFEF6F6"/>
      </patternFill>
    </fill>
    <fill>
      <patternFill patternType="solid">
        <fgColor rgb="FFFEF5F4"/>
        <bgColor rgb="FFFEF5F5"/>
      </patternFill>
    </fill>
    <fill>
      <patternFill patternType="darkGray">
        <fgColor rgb="FFF9DEDB"/>
        <bgColor rgb="FFF9DCDA"/>
      </patternFill>
    </fill>
    <fill>
      <patternFill patternType="solid">
        <fgColor rgb="FFED9992"/>
        <bgColor rgb="FFEB9189"/>
      </patternFill>
    </fill>
    <fill>
      <patternFill patternType="solid">
        <fgColor rgb="FFFBE7E6"/>
        <bgColor rgb="FFFBE8E7"/>
      </patternFill>
    </fill>
    <fill>
      <patternFill patternType="mediumGray">
        <fgColor rgb="FFF9DCDA"/>
        <bgColor rgb="FFF9DEDB"/>
      </patternFill>
    </fill>
    <fill>
      <patternFill patternType="darkGray">
        <fgColor rgb="FFF9DBD8"/>
        <bgColor rgb="FFF8D8D5"/>
      </patternFill>
    </fill>
    <fill>
      <patternFill patternType="darkGray">
        <fgColor rgb="FFF8D6D3"/>
        <bgColor rgb="FFF7D3CF"/>
      </patternFill>
    </fill>
    <fill>
      <patternFill patternType="mediumGray">
        <fgColor rgb="FFF8D8D5"/>
        <bgColor rgb="FFF9DBD8"/>
      </patternFill>
    </fill>
    <fill>
      <patternFill patternType="darkGray">
        <fgColor rgb="FFF7D3CF"/>
        <bgColor rgb="FFF7CFCC"/>
      </patternFill>
    </fill>
    <fill>
      <patternFill patternType="mediumGray">
        <fgColor rgb="FFF3B8B3"/>
        <bgColor rgb="FFF3BBB6"/>
      </patternFill>
    </fill>
    <fill>
      <patternFill patternType="solid">
        <fgColor rgb="FFFAE3E0"/>
        <bgColor rgb="FFFAE2E0"/>
      </patternFill>
    </fill>
    <fill>
      <patternFill patternType="solid">
        <fgColor rgb="FFF7D3CF"/>
        <bgColor rgb="FFF8D6D3"/>
      </patternFill>
    </fill>
    <fill>
      <patternFill patternType="darkGray">
        <fgColor rgb="FFF7CFCC"/>
        <bgColor rgb="FFF6CBC6"/>
      </patternFill>
    </fill>
    <fill>
      <patternFill patternType="solid">
        <fgColor rgb="FFFAE2E0"/>
        <bgColor rgb="FFFAE1DF"/>
      </patternFill>
    </fill>
    <fill>
      <patternFill patternType="solid">
        <fgColor rgb="FFFCEAE8"/>
        <bgColor rgb="FFFBE9E8"/>
      </patternFill>
    </fill>
    <fill>
      <patternFill patternType="solid">
        <fgColor rgb="FFF9DEDB"/>
        <bgColor rgb="FFFADFDD"/>
      </patternFill>
    </fill>
    <fill>
      <patternFill patternType="solid">
        <fgColor rgb="FFFFFEFE"/>
        <bgColor rgb="FFFFFFFF"/>
      </patternFill>
    </fill>
    <fill>
      <patternFill patternType="solid">
        <fgColor rgb="FFFFFDFD"/>
        <bgColor rgb="FFFFFCFC"/>
      </patternFill>
    </fill>
  </fills>
  <borders count="16">
    <border diagonalUp="false" diagonalDown="false">
      <left/>
      <right/>
      <top/>
      <bottom/>
      <diagonal/>
    </border>
    <border diagonalUp="false" diagonalDown="false">
      <left style="thick"/>
      <right/>
      <top style="thick"/>
      <bottom/>
      <diagonal/>
    </border>
    <border diagonalUp="false" diagonalDown="false">
      <left/>
      <right/>
      <top style="thick"/>
      <bottom/>
      <diagonal/>
    </border>
    <border diagonalUp="false" diagonalDown="false">
      <left style="thick"/>
      <right style="thick"/>
      <top style="thick"/>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style="thick"/>
      <right/>
      <top/>
      <bottom/>
      <diagonal/>
    </border>
    <border diagonalUp="false" diagonalDown="false">
      <left style="thick"/>
      <right style="thick"/>
      <top/>
      <bottom/>
      <diagonal/>
    </border>
    <border diagonalUp="false" diagonalDown="false">
      <left/>
      <right/>
      <top/>
      <bottom style="double"/>
      <diagonal/>
    </border>
    <border diagonalUp="false" diagonalDown="false">
      <left/>
      <right/>
      <top style="doubl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top"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bottom" textRotation="0" wrapText="false" indent="0" shrinkToFit="false"/>
      <protection locked="true" hidden="false"/>
    </xf>
    <xf numFmtId="164" fontId="6" fillId="2" borderId="3" xfId="0" applyFont="true" applyBorder="true" applyAlignment="true" applyProtection="true">
      <alignment horizontal="center" vertical="bottom" textRotation="0" wrapText="false" indent="0" shrinkToFit="false"/>
      <protection locked="true" hidden="false"/>
    </xf>
    <xf numFmtId="168" fontId="7" fillId="0" borderId="4" xfId="0" applyFont="true" applyBorder="true" applyAlignment="true" applyProtection="true">
      <alignment horizontal="right" vertical="bottom" textRotation="0" wrapText="false" indent="0" shrinkToFit="false"/>
      <protection locked="true" hidden="false"/>
    </xf>
    <xf numFmtId="164" fontId="5" fillId="0" borderId="5" xfId="0" applyFont="true" applyBorder="true" applyAlignment="true" applyProtection="true">
      <alignment horizontal="center" vertical="bottom" textRotation="0" wrapText="false" indent="0" shrinkToFit="false"/>
      <protection locked="true" hidden="false"/>
    </xf>
    <xf numFmtId="164" fontId="5" fillId="0" borderId="5" xfId="0" applyFont="true" applyBorder="true" applyAlignment="true" applyProtection="true">
      <alignment horizontal="general" vertical="bottom" textRotation="0" wrapText="false" indent="0" shrinkToFit="false"/>
      <protection locked="true" hidden="false"/>
    </xf>
    <xf numFmtId="166" fontId="5" fillId="0" borderId="5" xfId="0" applyFont="true" applyBorder="true" applyAlignment="true" applyProtection="true">
      <alignment horizontal="general" vertical="bottom" textRotation="0" wrapText="false" indent="0" shrinkToFit="false"/>
      <protection locked="true" hidden="false"/>
    </xf>
    <xf numFmtId="167" fontId="5" fillId="0" borderId="5" xfId="0" applyFont="true" applyBorder="true" applyAlignment="true" applyProtection="true">
      <alignment horizontal="general" vertical="bottom" textRotation="0" wrapText="false" indent="0" shrinkToFit="false"/>
      <protection locked="true" hidden="false"/>
    </xf>
    <xf numFmtId="164" fontId="5" fillId="0" borderId="6" xfId="0" applyFont="true" applyBorder="true" applyAlignment="true" applyProtection="true">
      <alignment horizontal="general" vertical="bottom" textRotation="0" wrapText="false" indent="0" shrinkToFit="false"/>
      <protection locked="true" hidden="false"/>
    </xf>
    <xf numFmtId="168" fontId="7" fillId="0" borderId="7" xfId="0" applyFont="true" applyBorder="true" applyAlignment="true" applyProtection="true">
      <alignment horizontal="right" vertical="bottom" textRotation="0" wrapText="false" indent="0" shrinkToFit="false"/>
      <protection locked="true" hidden="false"/>
    </xf>
    <xf numFmtId="164" fontId="5" fillId="0" borderId="8" xfId="0" applyFont="true" applyBorder="tru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center" vertical="bottom" textRotation="0" wrapText="false" indent="0" shrinkToFit="false"/>
      <protection locked="true" hidden="false"/>
    </xf>
    <xf numFmtId="168" fontId="5" fillId="0" borderId="6" xfId="0" applyFont="true" applyBorder="true" applyAlignment="true" applyProtection="true">
      <alignment horizontal="center" vertical="bottom" textRotation="0" wrapText="false" indent="0" shrinkToFit="false"/>
      <protection locked="true" hidden="false"/>
    </xf>
    <xf numFmtId="168" fontId="5" fillId="0" borderId="8" xfId="0" applyFont="true" applyBorder="true" applyAlignment="true" applyProtection="true">
      <alignment horizontal="center" vertical="bottom" textRotation="0" wrapText="false" indent="0" shrinkToFit="false"/>
      <protection locked="true" hidden="false"/>
    </xf>
    <xf numFmtId="168" fontId="5" fillId="0" borderId="9"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5" xfId="0" applyFont="true" applyBorder="true" applyAlignment="true" applyProtection="true">
      <alignment horizontal="center" vertical="top" textRotation="0" wrapText="false" indent="0" shrinkToFit="false"/>
      <protection locked="true" hidden="false"/>
    </xf>
    <xf numFmtId="165" fontId="5" fillId="0" borderId="5" xfId="0" applyFont="true" applyBorder="tru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true" applyProtection="true">
      <alignment horizontal="center" vertical="top" textRotation="0" wrapText="false" indent="0" shrinkToFit="false"/>
      <protection locked="true" hidden="false"/>
    </xf>
    <xf numFmtId="166" fontId="5" fillId="0" borderId="11" xfId="0" applyFont="true" applyBorder="true" applyAlignment="true" applyProtection="true">
      <alignment horizontal="general" vertical="bottom" textRotation="0" wrapText="false" indent="0" shrinkToFit="false"/>
      <protection locked="true" hidden="false"/>
    </xf>
    <xf numFmtId="165" fontId="5" fillId="0" borderId="11" xfId="0" applyFont="true" applyBorder="true" applyAlignment="true" applyProtection="true">
      <alignment horizontal="general" vertical="bottom" textRotation="0" wrapText="false" indent="0" shrinkToFit="false"/>
      <protection locked="true" hidden="false"/>
    </xf>
    <xf numFmtId="164" fontId="6" fillId="2" borderId="12" xfId="0" applyFont="true" applyBorder="true" applyAlignment="true" applyProtection="true">
      <alignment horizontal="center" vertical="bottom" textRotation="0" wrapText="false" indent="0" shrinkToFit="false"/>
      <protection locked="true" hidden="false"/>
    </xf>
    <xf numFmtId="164" fontId="6" fillId="2" borderId="0" xfId="0" applyFont="true" applyBorder="false" applyAlignment="true" applyProtection="true">
      <alignment horizontal="center" vertical="bottom" textRotation="0" wrapText="false" indent="0" shrinkToFit="false"/>
      <protection locked="true" hidden="false"/>
    </xf>
    <xf numFmtId="164" fontId="6" fillId="2" borderId="13" xfId="0" applyFont="true" applyBorder="true" applyAlignment="true" applyProtection="true">
      <alignment horizontal="center" vertical="bottom" textRotation="0" wrapText="false" indent="0" shrinkToFit="false"/>
      <protection locked="true" hidden="false"/>
    </xf>
    <xf numFmtId="165" fontId="5" fillId="0" borderId="6" xfId="0" applyFont="true" applyBorder="true" applyAlignment="true" applyProtection="true">
      <alignment horizontal="general" vertical="bottom" textRotation="0" wrapText="false" indent="0" shrinkToFit="false"/>
      <protection locked="true" hidden="false"/>
    </xf>
    <xf numFmtId="165" fontId="5" fillId="0" borderId="8" xfId="0" applyFont="true" applyBorder="true" applyAlignment="true" applyProtection="true">
      <alignment horizontal="general" vertical="bottom" textRotation="0" wrapText="false" indent="0" shrinkToFit="false"/>
      <protection locked="true" hidden="false"/>
    </xf>
    <xf numFmtId="168" fontId="7" fillId="0" borderId="10" xfId="0" applyFont="true" applyBorder="true" applyAlignment="true" applyProtection="true">
      <alignment horizontal="right" vertical="bottom" textRotation="0" wrapText="false" indent="0" shrinkToFit="false"/>
      <protection locked="true" hidden="false"/>
    </xf>
    <xf numFmtId="164" fontId="5" fillId="0" borderId="11" xfId="0" applyFont="true" applyBorder="true" applyAlignment="true" applyProtection="true">
      <alignment horizontal="center" vertical="bottom" textRotation="0" wrapText="false" indent="0" shrinkToFit="false"/>
      <protection locked="true" hidden="false"/>
    </xf>
    <xf numFmtId="165" fontId="5" fillId="0" borderId="9"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true">
      <alignment horizontal="center" vertical="top" textRotation="0" wrapText="true" indent="0" shrinkToFit="false"/>
      <protection locked="true" hidden="false"/>
    </xf>
    <xf numFmtId="164" fontId="12" fillId="0" borderId="0" xfId="0" applyFont="true" applyBorder="true" applyAlignment="true" applyProtection="true">
      <alignment horizontal="center" vertical="center" textRotation="90" wrapText="true" indent="0" shrinkToFit="false"/>
      <protection locked="true" hidden="false"/>
    </xf>
    <xf numFmtId="164" fontId="5" fillId="0" borderId="0" xfId="0" applyFont="true" applyBorder="tru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top" textRotation="0" wrapText="true" indent="0" shrinkToFit="false"/>
      <protection locked="true" hidden="false"/>
    </xf>
    <xf numFmtId="166" fontId="5" fillId="3" borderId="0" xfId="0" applyFont="true" applyBorder="false" applyAlignment="true" applyProtection="true">
      <alignment horizontal="right"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6" fontId="5" fillId="4" borderId="0" xfId="0" applyFont="true" applyBorder="false" applyAlignment="true" applyProtection="true">
      <alignment horizontal="right" vertical="top" textRotation="0" wrapText="false" indent="0" shrinkToFit="false"/>
      <protection locked="true" hidden="false"/>
    </xf>
    <xf numFmtId="164" fontId="5" fillId="0" borderId="14" xfId="0" applyFont="true" applyBorder="true" applyAlignment="true" applyProtection="true">
      <alignment horizontal="general" vertical="top" textRotation="0" wrapText="false" indent="0" shrinkToFit="false"/>
      <protection locked="true" hidden="false"/>
    </xf>
    <xf numFmtId="164" fontId="12" fillId="0" borderId="15" xfId="0" applyFont="true" applyBorder="true" applyAlignment="true" applyProtection="true">
      <alignment horizontal="center" vertical="center" textRotation="90" wrapText="false" indent="0" shrinkToFit="false"/>
      <protection locked="true" hidden="false"/>
    </xf>
    <xf numFmtId="164" fontId="5" fillId="0" borderId="15" xfId="0" applyFont="true" applyBorder="true" applyAlignment="true" applyProtection="true">
      <alignment horizontal="general" vertical="top" textRotation="0" wrapText="true" indent="0" shrinkToFit="false"/>
      <protection locked="true" hidden="false"/>
    </xf>
    <xf numFmtId="164" fontId="5" fillId="0" borderId="15" xfId="0" applyFont="true" applyBorder="true" applyAlignment="true" applyProtection="true">
      <alignment horizontal="center" vertical="top" textRotation="0" wrapText="false" indent="0" shrinkToFit="false"/>
      <protection locked="true" hidden="false"/>
    </xf>
    <xf numFmtId="164" fontId="14" fillId="0" borderId="15" xfId="0" applyFont="true" applyBorder="true" applyAlignment="true" applyProtection="true">
      <alignment horizontal="general" vertical="top" textRotation="0" wrapText="true" indent="0" shrinkToFit="false"/>
      <protection locked="true" hidden="false"/>
    </xf>
    <xf numFmtId="166" fontId="5" fillId="5" borderId="0" xfId="0" applyFont="true" applyBorder="false" applyAlignment="true" applyProtection="true">
      <alignment horizontal="right" vertical="top" textRotation="0" wrapText="false" indent="0" shrinkToFit="false"/>
      <protection locked="true" hidden="false"/>
    </xf>
    <xf numFmtId="164" fontId="5" fillId="0" borderId="15" xfId="0" applyFont="true" applyBorder="true" applyAlignment="true" applyProtection="true">
      <alignment horizontal="general" vertical="top" textRotation="0" wrapText="false" indent="0" shrinkToFit="false"/>
      <protection locked="true" hidden="false"/>
    </xf>
    <xf numFmtId="164" fontId="15" fillId="0" borderId="15" xfId="0" applyFont="true" applyBorder="true" applyAlignment="true" applyProtection="true">
      <alignment horizontal="center" vertical="bottom" textRotation="90" wrapText="false" indent="0" shrinkToFit="false"/>
      <protection locked="true" hidden="false"/>
    </xf>
    <xf numFmtId="166" fontId="5" fillId="6" borderId="0" xfId="0" applyFont="true" applyBorder="false" applyAlignment="true" applyProtection="true">
      <alignment horizontal="right" vertical="top" textRotation="0" wrapText="false" indent="0" shrinkToFit="false"/>
      <protection locked="true" hidden="false"/>
    </xf>
    <xf numFmtId="164" fontId="4" fillId="0" borderId="0" xfId="0" applyFont="true" applyBorder="false" applyAlignment="true" applyProtection="true">
      <alignment horizontal="center" vertical="center" textRotation="90" wrapText="false" indent="0" shrinkToFit="false"/>
      <protection locked="true" hidden="false"/>
    </xf>
    <xf numFmtId="164" fontId="13" fillId="0" borderId="15" xfId="0" applyFont="true" applyBorder="true" applyAlignment="true" applyProtection="true">
      <alignment horizontal="general" vertical="top" textRotation="0" wrapText="true" indent="0" shrinkToFit="false"/>
      <protection locked="true" hidden="false"/>
    </xf>
    <xf numFmtId="166" fontId="5" fillId="7" borderId="0" xfId="0" applyFont="true" applyBorder="false" applyAlignment="true" applyProtection="true">
      <alignment horizontal="right" vertical="top" textRotation="0" wrapText="false" indent="0" shrinkToFit="false"/>
      <protection locked="true" hidden="false"/>
    </xf>
    <xf numFmtId="166" fontId="5" fillId="8" borderId="0" xfId="0" applyFont="true" applyBorder="false" applyAlignment="true" applyProtection="true">
      <alignment horizontal="right" vertical="top" textRotation="0" wrapText="false" indent="0" shrinkToFit="false"/>
      <protection locked="true" hidden="false"/>
    </xf>
    <xf numFmtId="166" fontId="5" fillId="9" borderId="0" xfId="0" applyFont="true" applyBorder="false" applyAlignment="true" applyProtection="true">
      <alignment horizontal="right" vertical="top" textRotation="0" wrapText="false" indent="0" shrinkToFit="false"/>
      <protection locked="true" hidden="false"/>
    </xf>
    <xf numFmtId="166" fontId="5" fillId="10" borderId="0" xfId="0" applyFont="true" applyBorder="false" applyAlignment="true" applyProtection="true">
      <alignment horizontal="right" vertical="top" textRotation="0" wrapText="false" indent="0" shrinkToFit="false"/>
      <protection locked="true" hidden="false"/>
    </xf>
    <xf numFmtId="166" fontId="5" fillId="11" borderId="0" xfId="0" applyFont="true" applyBorder="false" applyAlignment="true" applyProtection="true">
      <alignment horizontal="right"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6" fontId="5" fillId="12" borderId="0" xfId="0" applyFont="true" applyBorder="false" applyAlignment="true" applyProtection="true">
      <alignment horizontal="right" vertical="top" textRotation="0" wrapText="false" indent="0" shrinkToFit="false"/>
      <protection locked="true" hidden="false"/>
    </xf>
    <xf numFmtId="166" fontId="5" fillId="13" borderId="0" xfId="0" applyFont="true" applyBorder="false" applyAlignment="true" applyProtection="true">
      <alignment horizontal="right" vertical="top" textRotation="0" wrapText="false" indent="0" shrinkToFit="false"/>
      <protection locked="true" hidden="false"/>
    </xf>
    <xf numFmtId="166" fontId="5" fillId="14" borderId="0" xfId="0" applyFont="true" applyBorder="false" applyAlignment="true" applyProtection="true">
      <alignment horizontal="right" vertical="top" textRotation="0" wrapText="false" indent="0" shrinkToFit="false"/>
      <protection locked="true" hidden="false"/>
    </xf>
    <xf numFmtId="166" fontId="5" fillId="15" borderId="0" xfId="0" applyFont="true" applyBorder="false" applyAlignment="true" applyProtection="true">
      <alignment horizontal="right" vertical="top" textRotation="0" wrapText="false" indent="0" shrinkToFit="false"/>
      <protection locked="true" hidden="false"/>
    </xf>
    <xf numFmtId="166" fontId="5" fillId="16" borderId="0" xfId="0" applyFont="true" applyBorder="false" applyAlignment="true" applyProtection="true">
      <alignment horizontal="right" vertical="top" textRotation="0" wrapText="false" indent="0" shrinkToFit="false"/>
      <protection locked="true" hidden="false"/>
    </xf>
    <xf numFmtId="166" fontId="5" fillId="17" borderId="15" xfId="0" applyFont="true" applyBorder="true" applyAlignment="true" applyProtection="true">
      <alignment horizontal="right" vertical="top" textRotation="0" wrapText="false" indent="0" shrinkToFit="false"/>
      <protection locked="true" hidden="false"/>
    </xf>
    <xf numFmtId="164" fontId="4" fillId="0" borderId="15" xfId="0" applyFont="true" applyBorder="true" applyAlignment="true" applyProtection="true">
      <alignment horizontal="center" vertical="center" textRotation="90" wrapText="false" indent="0" shrinkToFit="false"/>
      <protection locked="true" hidden="false"/>
    </xf>
    <xf numFmtId="166" fontId="5" fillId="18" borderId="0" xfId="0" applyFont="true" applyBorder="false" applyAlignment="true" applyProtection="true">
      <alignment horizontal="right" vertical="top" textRotation="0" wrapText="false" indent="0" shrinkToFit="false"/>
      <protection locked="true" hidden="false"/>
    </xf>
    <xf numFmtId="166" fontId="5" fillId="19" borderId="0" xfId="0" applyFont="true" applyBorder="false" applyAlignment="true" applyProtection="true">
      <alignment horizontal="right" vertical="top" textRotation="0" wrapText="false" indent="0" shrinkToFit="false"/>
      <protection locked="true" hidden="false"/>
    </xf>
    <xf numFmtId="166" fontId="5" fillId="20" borderId="0" xfId="0" applyFont="true" applyBorder="false" applyAlignment="true" applyProtection="true">
      <alignment horizontal="right" vertical="top" textRotation="0" wrapText="fals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6" fontId="5" fillId="21" borderId="0" xfId="0" applyFont="true" applyBorder="false" applyAlignment="true" applyProtection="true">
      <alignment horizontal="right" vertical="top" textRotation="0" wrapText="false" indent="0" shrinkToFit="false"/>
      <protection locked="true" hidden="false"/>
    </xf>
    <xf numFmtId="164" fontId="14" fillId="0" borderId="0" xfId="0" applyFont="true" applyBorder="false" applyAlignment="true" applyProtection="true">
      <alignment horizontal="general" vertical="top" textRotation="0" wrapText="true" indent="0" shrinkToFit="false"/>
      <protection locked="true" hidden="false"/>
    </xf>
    <xf numFmtId="166" fontId="5" fillId="22" borderId="0" xfId="0" applyFont="true" applyBorder="false" applyAlignment="true" applyProtection="true">
      <alignment horizontal="right" vertical="top" textRotation="0" wrapText="false" indent="0" shrinkToFit="false"/>
      <protection locked="true" hidden="false"/>
    </xf>
    <xf numFmtId="166" fontId="5" fillId="23" borderId="0" xfId="0" applyFont="true" applyBorder="false" applyAlignment="true" applyProtection="true">
      <alignment horizontal="right" vertical="top" textRotation="0" wrapText="false" indent="0" shrinkToFit="false"/>
      <protection locked="true" hidden="false"/>
    </xf>
    <xf numFmtId="164" fontId="17" fillId="0" borderId="15" xfId="0" applyFont="true" applyBorder="true" applyAlignment="true" applyProtection="true">
      <alignment horizontal="general" vertical="top" textRotation="0" wrapText="true" indent="0" shrinkToFit="false"/>
      <protection locked="true" hidden="false"/>
    </xf>
    <xf numFmtId="166" fontId="5" fillId="24" borderId="0" xfId="0" applyFont="true" applyBorder="false" applyAlignment="true" applyProtection="true">
      <alignment horizontal="right" vertical="top" textRotation="0" wrapText="false" indent="0" shrinkToFit="false"/>
      <protection locked="true" hidden="false"/>
    </xf>
    <xf numFmtId="166" fontId="5" fillId="25" borderId="0" xfId="0" applyFont="true" applyBorder="false" applyAlignment="true" applyProtection="true">
      <alignment horizontal="right" vertical="top" textRotation="0" wrapText="false" indent="0" shrinkToFit="false"/>
      <protection locked="true" hidden="false"/>
    </xf>
    <xf numFmtId="166" fontId="5" fillId="26" borderId="0" xfId="0" applyFont="true" applyBorder="false" applyAlignment="true" applyProtection="true">
      <alignment horizontal="right"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4" fontId="21" fillId="0" borderId="15" xfId="0" applyFont="true" applyBorder="true" applyAlignment="true" applyProtection="true">
      <alignment horizontal="general" vertical="top" textRotation="0" wrapText="true" indent="0" shrinkToFit="false"/>
      <protection locked="true" hidden="false"/>
    </xf>
    <xf numFmtId="166" fontId="5" fillId="27" borderId="0" xfId="0" applyFont="true" applyBorder="false" applyAlignment="true" applyProtection="true">
      <alignment horizontal="right" vertical="top" textRotation="0" wrapText="false" indent="0" shrinkToFit="false"/>
      <protection locked="true" hidden="false"/>
    </xf>
    <xf numFmtId="166" fontId="5" fillId="28" borderId="0" xfId="0" applyFont="true" applyBorder="false" applyAlignment="true" applyProtection="true">
      <alignment horizontal="right" vertical="top" textRotation="0" wrapText="false" indent="0" shrinkToFit="false"/>
      <protection locked="true" hidden="false"/>
    </xf>
    <xf numFmtId="166" fontId="5" fillId="29" borderId="0" xfId="0" applyFont="true" applyBorder="false" applyAlignment="true" applyProtection="true">
      <alignment horizontal="right" vertical="top" textRotation="0" wrapText="false" indent="0" shrinkToFit="false"/>
      <protection locked="true" hidden="false"/>
    </xf>
    <xf numFmtId="166" fontId="5" fillId="30" borderId="0" xfId="0" applyFont="true" applyBorder="false" applyAlignment="true" applyProtection="true">
      <alignment horizontal="right" vertical="top" textRotation="0" wrapText="false" indent="0" shrinkToFit="false"/>
      <protection locked="true" hidden="false"/>
    </xf>
    <xf numFmtId="166" fontId="5" fillId="31" borderId="0" xfId="0" applyFont="true" applyBorder="false" applyAlignment="true" applyProtection="true">
      <alignment horizontal="right" vertical="top" textRotation="0" wrapText="false" indent="0" shrinkToFit="false"/>
      <protection locked="true" hidden="false"/>
    </xf>
    <xf numFmtId="166" fontId="5" fillId="32" borderId="0" xfId="0" applyFont="true" applyBorder="false" applyAlignment="true" applyProtection="true">
      <alignment horizontal="right" vertical="top" textRotation="0" wrapText="false" indent="0" shrinkToFit="false"/>
      <protection locked="true" hidden="false"/>
    </xf>
    <xf numFmtId="166" fontId="5" fillId="33" borderId="0" xfId="0" applyFont="true" applyBorder="false" applyAlignment="true" applyProtection="true">
      <alignment horizontal="right" vertical="top" textRotation="0" wrapText="false" indent="0" shrinkToFit="false"/>
      <protection locked="true" hidden="false"/>
    </xf>
    <xf numFmtId="166" fontId="5" fillId="34" borderId="0" xfId="0" applyFont="true" applyBorder="false" applyAlignment="true" applyProtection="true">
      <alignment horizontal="right" vertical="top" textRotation="0" wrapText="false" indent="0" shrinkToFit="false"/>
      <protection locked="true" hidden="false"/>
    </xf>
    <xf numFmtId="166" fontId="5" fillId="35" borderId="0" xfId="0" applyFont="true" applyBorder="false" applyAlignment="true" applyProtection="true">
      <alignment horizontal="right" vertical="top" textRotation="0" wrapText="false" indent="0" shrinkToFit="false"/>
      <protection locked="true" hidden="false"/>
    </xf>
    <xf numFmtId="164" fontId="7" fillId="0" borderId="15" xfId="0" applyFont="true" applyBorder="true" applyAlignment="true" applyProtection="true">
      <alignment horizontal="general" vertical="top" textRotation="0" wrapText="true" indent="0" shrinkToFit="false"/>
      <protection locked="true" hidden="false"/>
    </xf>
    <xf numFmtId="164" fontId="13" fillId="0" borderId="15" xfId="0" applyFont="true" applyBorder="true" applyAlignment="true" applyProtection="true">
      <alignment horizontal="left" vertical="top" textRotation="0" wrapText="true" indent="0" shrinkToFit="false"/>
      <protection locked="true" hidden="false"/>
    </xf>
    <xf numFmtId="166" fontId="5" fillId="36" borderId="0" xfId="0" applyFont="true" applyBorder="false" applyAlignment="true" applyProtection="true">
      <alignment horizontal="right" vertical="top" textRotation="0" wrapText="false" indent="0" shrinkToFit="false"/>
      <protection locked="true" hidden="false"/>
    </xf>
    <xf numFmtId="166" fontId="5" fillId="37" borderId="0" xfId="0" applyFont="true" applyBorder="false" applyAlignment="true" applyProtection="true">
      <alignment horizontal="right" vertical="top" textRotation="0" wrapText="false" indent="0" shrinkToFit="false"/>
      <protection locked="true" hidden="false"/>
    </xf>
    <xf numFmtId="166" fontId="5" fillId="38" borderId="0" xfId="0" applyFont="true" applyBorder="false" applyAlignment="true" applyProtection="true">
      <alignment horizontal="right" vertical="top" textRotation="0" wrapText="false" indent="0" shrinkToFit="false"/>
      <protection locked="true" hidden="false"/>
    </xf>
    <xf numFmtId="166" fontId="5" fillId="39" borderId="0" xfId="0" applyFont="true" applyBorder="false" applyAlignment="true" applyProtection="true">
      <alignment horizontal="right" vertical="top" textRotation="0" wrapText="false" indent="0" shrinkToFit="false"/>
      <protection locked="true" hidden="false"/>
    </xf>
    <xf numFmtId="166" fontId="5" fillId="40" borderId="0" xfId="0" applyFont="true" applyBorder="false" applyAlignment="true" applyProtection="true">
      <alignment horizontal="right" vertical="top" textRotation="0" wrapText="false" indent="0" shrinkToFit="false"/>
      <protection locked="true" hidden="false"/>
    </xf>
    <xf numFmtId="166" fontId="5" fillId="41" borderId="0" xfId="0" applyFont="true" applyBorder="false" applyAlignment="true" applyProtection="true">
      <alignment horizontal="right" vertical="top" textRotation="0" wrapText="false" indent="0" shrinkToFit="false"/>
      <protection locked="true" hidden="false"/>
    </xf>
    <xf numFmtId="166" fontId="5" fillId="42" borderId="0" xfId="0" applyFont="true" applyBorder="false" applyAlignment="true" applyProtection="true">
      <alignment horizontal="right" vertical="top" textRotation="0" wrapText="false" indent="0" shrinkToFit="false"/>
      <protection locked="true" hidden="false"/>
    </xf>
    <xf numFmtId="166" fontId="5" fillId="17" borderId="0" xfId="0" applyFont="true" applyBorder="false" applyAlignment="true" applyProtection="true">
      <alignment horizontal="right" vertical="top" textRotation="0" wrapText="fals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8" fillId="0" borderId="15" xfId="0" applyFont="true" applyBorder="true" applyAlignment="true" applyProtection="true">
      <alignment horizontal="general" vertical="top" textRotation="0" wrapText="true" indent="0" shrinkToFit="false"/>
      <protection locked="true" hidden="false"/>
    </xf>
    <xf numFmtId="164" fontId="28"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6" fillId="0" borderId="15" xfId="0" applyFont="true" applyBorder="true" applyAlignment="true" applyProtection="true">
      <alignment horizontal="general" vertical="top" textRotation="0" wrapText="true" indent="0" shrinkToFit="false"/>
      <protection locked="true" hidden="false"/>
    </xf>
    <xf numFmtId="164" fontId="6" fillId="2" borderId="0" xfId="0" applyFont="true" applyBorder="false" applyAlignment="true" applyProtection="true">
      <alignment horizontal="general" vertical="top"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center" vertical="bottom" textRotation="0" wrapText="false" indent="0" shrinkToFit="false"/>
      <protection locked="true" hidden="false"/>
    </xf>
    <xf numFmtId="164" fontId="31" fillId="0" borderId="0" xfId="0" applyFont="true" applyBorder="false" applyAlignment="true" applyProtection="true">
      <alignment horizontal="center" vertical="bottom" textRotation="0" wrapText="false" indent="0" shrinkToFit="false"/>
      <protection locked="true" hidden="false"/>
    </xf>
    <xf numFmtId="164" fontId="32" fillId="0" borderId="0" xfId="0" applyFont="true" applyBorder="false" applyAlignment="true" applyProtection="true">
      <alignment horizontal="center" vertical="bottom" textRotation="0" wrapText="false" indent="0" shrinkToFit="false"/>
      <protection locked="true" hidden="false"/>
    </xf>
    <xf numFmtId="164" fontId="33" fillId="0" borderId="0" xfId="0" applyFont="true" applyBorder="false" applyAlignment="true" applyProtection="true">
      <alignment horizontal="center" vertical="bottom" textRotation="0" wrapText="false" indent="0" shrinkToFit="false"/>
      <protection locked="true" hidden="false"/>
    </xf>
    <xf numFmtId="164" fontId="34" fillId="0" borderId="0" xfId="0" applyFont="true" applyBorder="false" applyAlignment="true" applyProtection="true">
      <alignment horizontal="center" vertical="bottom" textRotation="0" wrapText="false" indent="0" shrinkToFit="false"/>
      <protection locked="true" hidden="false"/>
    </xf>
    <xf numFmtId="164" fontId="35" fillId="0" borderId="0" xfId="0" applyFont="true" applyBorder="false" applyAlignment="true" applyProtection="true">
      <alignment horizontal="center" vertical="bottom" textRotation="0" wrapText="false" indent="0" shrinkToFit="false"/>
      <protection locked="true" hidden="false"/>
    </xf>
    <xf numFmtId="164" fontId="36" fillId="0" borderId="0" xfId="0" applyFont="true" applyBorder="false" applyAlignment="true" applyProtection="true">
      <alignment horizontal="center" vertical="bottom" textRotation="0" wrapText="false" indent="0" shrinkToFit="false"/>
      <protection locked="true" hidden="false"/>
    </xf>
    <xf numFmtId="164" fontId="37" fillId="0" borderId="0" xfId="0" applyFont="true" applyBorder="false" applyAlignment="true" applyProtection="true">
      <alignment horizontal="center" vertical="bottom" textRotation="0" wrapText="false" indent="0" shrinkToFit="false"/>
      <protection locked="true" hidden="false"/>
    </xf>
    <xf numFmtId="164" fontId="38" fillId="0" borderId="0" xfId="0" applyFont="true" applyBorder="false" applyAlignment="true" applyProtection="true">
      <alignment horizontal="center" vertical="bottom" textRotation="0" wrapText="false" indent="0" shrinkToFit="false"/>
      <protection locked="true" hidden="false"/>
    </xf>
    <xf numFmtId="168" fontId="39" fillId="0" borderId="0" xfId="0" applyFont="true" applyBorder="false" applyAlignment="true" applyProtection="true">
      <alignment horizontal="right" vertical="bottom" textRotation="0" wrapText="false" indent="0" shrinkToFit="false"/>
      <protection locked="true" hidden="false"/>
    </xf>
    <xf numFmtId="168" fontId="5" fillId="0" borderId="0" xfId="0" applyFont="true" applyBorder="false" applyAlignment="true" applyProtection="true">
      <alignment horizontal="center" vertical="top" textRotation="0" wrapText="false" indent="0" shrinkToFit="false"/>
      <protection locked="true" hidden="false"/>
    </xf>
    <xf numFmtId="166" fontId="5" fillId="43" borderId="0" xfId="0" applyFont="true" applyBorder="false" applyAlignment="true" applyProtection="true">
      <alignment horizontal="center" vertical="bottom" textRotation="0" wrapText="false" indent="0" shrinkToFit="false"/>
      <protection locked="true" hidden="false"/>
    </xf>
    <xf numFmtId="164" fontId="40" fillId="0" borderId="0" xfId="0" applyFont="true" applyBorder="false" applyAlignment="true" applyProtection="true">
      <alignment horizontal="center" vertical="bottom" textRotation="0" wrapText="false" indent="0" shrinkToFit="false"/>
      <protection locked="true" hidden="false"/>
    </xf>
    <xf numFmtId="166" fontId="5" fillId="32" borderId="0" xfId="0" applyFont="true" applyBorder="false" applyAlignment="true" applyProtection="true">
      <alignment horizontal="center" vertical="bottom" textRotation="0" wrapText="false" indent="0" shrinkToFit="false"/>
      <protection locked="true" hidden="false"/>
    </xf>
    <xf numFmtId="166" fontId="5" fillId="13" borderId="0" xfId="0" applyFont="true" applyBorder="false" applyAlignment="true" applyProtection="true">
      <alignment horizontal="center" vertical="bottom" textRotation="0" wrapText="false" indent="0" shrinkToFit="false"/>
      <protection locked="true" hidden="false"/>
    </xf>
    <xf numFmtId="166" fontId="5" fillId="44" borderId="0" xfId="0" applyFont="true" applyBorder="false" applyAlignment="true" applyProtection="true">
      <alignment horizontal="center" vertical="bottom" textRotation="0" wrapText="false" indent="0" shrinkToFit="false"/>
      <protection locked="true" hidden="false"/>
    </xf>
    <xf numFmtId="166" fontId="5" fillId="11" borderId="0" xfId="0" applyFont="true" applyBorder="false" applyAlignment="true" applyProtection="true">
      <alignment horizontal="center" vertical="bottom" textRotation="0" wrapText="false" indent="0" shrinkToFit="false"/>
      <protection locked="true" hidden="false"/>
    </xf>
    <xf numFmtId="166" fontId="5" fillId="26" borderId="0" xfId="0" applyFont="true" applyBorder="false" applyAlignment="true" applyProtection="true">
      <alignment horizontal="center" vertical="bottom" textRotation="0" wrapText="false" indent="0" shrinkToFit="false"/>
      <protection locked="true" hidden="false"/>
    </xf>
    <xf numFmtId="166" fontId="5" fillId="7" borderId="0" xfId="0" applyFont="true" applyBorder="false" applyAlignment="true" applyProtection="true">
      <alignment horizontal="center" vertical="bottom" textRotation="0" wrapText="false" indent="0" shrinkToFit="false"/>
      <protection locked="true" hidden="false"/>
    </xf>
    <xf numFmtId="166" fontId="5" fillId="12" borderId="0" xfId="0" applyFont="true" applyBorder="false" applyAlignment="true" applyProtection="true">
      <alignment horizontal="center" vertical="bottom" textRotation="0" wrapText="false" indent="0" shrinkToFit="false"/>
      <protection locked="true" hidden="false"/>
    </xf>
    <xf numFmtId="166" fontId="5" fillId="39" borderId="0" xfId="0" applyFont="true" applyBorder="false" applyAlignment="true" applyProtection="true">
      <alignment horizontal="center" vertical="bottom" textRotation="0" wrapText="false" indent="0" shrinkToFit="false"/>
      <protection locked="true" hidden="false"/>
    </xf>
    <xf numFmtId="166" fontId="5" fillId="15" borderId="0" xfId="0" applyFont="true" applyBorder="false" applyAlignment="true" applyProtection="true">
      <alignment horizontal="center" vertical="bottom" textRotation="0" wrapText="false" indent="0" shrinkToFit="false"/>
      <protection locked="true" hidden="false"/>
    </xf>
    <xf numFmtId="166" fontId="5" fillId="38" borderId="0" xfId="0" applyFont="true" applyBorder="false" applyAlignment="true" applyProtection="true">
      <alignment horizontal="center" vertical="bottom" textRotation="0" wrapText="false" indent="0" shrinkToFit="false"/>
      <protection locked="true" hidden="false"/>
    </xf>
    <xf numFmtId="166" fontId="5" fillId="45" borderId="0" xfId="0" applyFont="true" applyBorder="false" applyAlignment="true" applyProtection="true">
      <alignment horizontal="center" vertical="bottom" textRotation="0" wrapText="false" indent="0" shrinkToFit="false"/>
      <protection locked="true" hidden="false"/>
    </xf>
    <xf numFmtId="166" fontId="5" fillId="46" borderId="0" xfId="0" applyFont="true" applyBorder="false" applyAlignment="true" applyProtection="true">
      <alignment horizontal="center" vertical="bottom" textRotation="0" wrapText="false" indent="0" shrinkToFit="false"/>
      <protection locked="true" hidden="false"/>
    </xf>
    <xf numFmtId="166" fontId="5" fillId="47" borderId="0" xfId="0" applyFont="true" applyBorder="false" applyAlignment="true" applyProtection="true">
      <alignment horizontal="center" vertical="bottom" textRotation="0" wrapText="false" indent="0" shrinkToFit="false"/>
      <protection locked="true" hidden="false"/>
    </xf>
    <xf numFmtId="166" fontId="5" fillId="19" borderId="0" xfId="0" applyFont="true" applyBorder="false" applyAlignment="true" applyProtection="true">
      <alignment horizontal="center" vertical="bottom" textRotation="0" wrapText="false" indent="0" shrinkToFit="false"/>
      <protection locked="true" hidden="false"/>
    </xf>
    <xf numFmtId="166" fontId="5" fillId="18" borderId="0" xfId="0" applyFont="true" applyBorder="false" applyAlignment="true" applyProtection="true">
      <alignment horizontal="center" vertical="bottom" textRotation="0" wrapText="false" indent="0" shrinkToFit="false"/>
      <protection locked="true" hidden="false"/>
    </xf>
    <xf numFmtId="166" fontId="5" fillId="48" borderId="0" xfId="0" applyFont="true" applyBorder="false" applyAlignment="true" applyProtection="true">
      <alignment horizontal="center" vertical="bottom" textRotation="0" wrapText="false" indent="0" shrinkToFit="false"/>
      <protection locked="true" hidden="false"/>
    </xf>
    <xf numFmtId="166" fontId="5" fillId="17" borderId="0" xfId="0" applyFont="true" applyBorder="false" applyAlignment="true" applyProtection="true">
      <alignment horizontal="center" vertical="bottom" textRotation="0" wrapText="false" indent="0" shrinkToFit="false"/>
      <protection locked="true" hidden="false"/>
    </xf>
    <xf numFmtId="166" fontId="5" fillId="14" borderId="0" xfId="0" applyFont="true" applyBorder="false" applyAlignment="true" applyProtection="true">
      <alignment horizontal="center" vertical="bottom" textRotation="0" wrapText="false" indent="0" shrinkToFit="false"/>
      <protection locked="true" hidden="false"/>
    </xf>
    <xf numFmtId="166" fontId="5" fillId="29" borderId="0" xfId="0" applyFont="true" applyBorder="false" applyAlignment="true" applyProtection="true">
      <alignment horizontal="center" vertical="bottom" textRotation="0" wrapText="false" indent="0" shrinkToFit="false"/>
      <protection locked="true" hidden="false"/>
    </xf>
    <xf numFmtId="166" fontId="5" fillId="49" borderId="0" xfId="0" applyFont="true" applyBorder="false" applyAlignment="true" applyProtection="true">
      <alignment horizontal="center" vertical="bottom" textRotation="0" wrapText="false" indent="0" shrinkToFit="false"/>
      <protection locked="true" hidden="false"/>
    </xf>
    <xf numFmtId="166" fontId="5" fillId="6" borderId="0" xfId="0" applyFont="true" applyBorder="false" applyAlignment="true" applyProtection="true">
      <alignment horizontal="center" vertical="bottom" textRotation="0" wrapText="false" indent="0" shrinkToFit="false"/>
      <protection locked="true" hidden="false"/>
    </xf>
    <xf numFmtId="166" fontId="5" fillId="23" borderId="0" xfId="0" applyFont="true" applyBorder="false" applyAlignment="true" applyProtection="true">
      <alignment horizontal="center" vertical="bottom" textRotation="0" wrapText="false" indent="0" shrinkToFit="false"/>
      <protection locked="true" hidden="false"/>
    </xf>
    <xf numFmtId="166" fontId="5" fillId="21" borderId="0" xfId="0" applyFont="true" applyBorder="false" applyAlignment="true" applyProtection="true">
      <alignment horizontal="center" vertical="bottom" textRotation="0" wrapText="false" indent="0" shrinkToFit="false"/>
      <protection locked="true" hidden="false"/>
    </xf>
    <xf numFmtId="166" fontId="5" fillId="40" borderId="0" xfId="0" applyFont="true" applyBorder="false" applyAlignment="true" applyProtection="true">
      <alignment horizontal="center" vertical="bottom" textRotation="0" wrapText="false" indent="0" shrinkToFit="false"/>
      <protection locked="true" hidden="false"/>
    </xf>
    <xf numFmtId="166" fontId="5" fillId="9" borderId="0" xfId="0" applyFont="true" applyBorder="false" applyAlignment="true" applyProtection="true">
      <alignment horizontal="center" vertical="bottom" textRotation="0" wrapText="false" indent="0" shrinkToFit="false"/>
      <protection locked="true" hidden="false"/>
    </xf>
    <xf numFmtId="166" fontId="5" fillId="8" borderId="0" xfId="0" applyFont="true" applyBorder="false" applyAlignment="true" applyProtection="true">
      <alignment horizontal="center" vertical="bottom" textRotation="0" wrapText="false" indent="0" shrinkToFit="false"/>
      <protection locked="true" hidden="false"/>
    </xf>
    <xf numFmtId="166" fontId="5" fillId="16" borderId="0" xfId="0" applyFont="true" applyBorder="false" applyAlignment="true" applyProtection="true">
      <alignment horizontal="center" vertical="bottom" textRotation="0" wrapText="false" indent="0" shrinkToFit="false"/>
      <protection locked="true" hidden="false"/>
    </xf>
    <xf numFmtId="166" fontId="5" fillId="50" borderId="0" xfId="0" applyFont="true" applyBorder="false" applyAlignment="true" applyProtection="true">
      <alignment horizontal="center" vertical="bottom" textRotation="0" wrapText="false" indent="0" shrinkToFit="false"/>
      <protection locked="true" hidden="false"/>
    </xf>
    <xf numFmtId="166" fontId="5" fillId="28" borderId="0" xfId="0" applyFont="true" applyBorder="false" applyAlignment="true" applyProtection="true">
      <alignment horizontal="center" vertical="bottom" textRotation="0" wrapText="false" indent="0" shrinkToFit="false"/>
      <protection locked="true" hidden="false"/>
    </xf>
    <xf numFmtId="166" fontId="5" fillId="33" borderId="0" xfId="0" applyFont="true" applyBorder="false" applyAlignment="true" applyProtection="true">
      <alignment horizontal="center" vertical="bottom" textRotation="0" wrapText="false" indent="0" shrinkToFit="false"/>
      <protection locked="true" hidden="false"/>
    </xf>
    <xf numFmtId="166" fontId="5" fillId="51" borderId="0" xfId="0" applyFont="true" applyBorder="false" applyAlignment="true" applyProtection="true">
      <alignment horizontal="center" vertical="bottom" textRotation="0" wrapText="false" indent="0" shrinkToFit="false"/>
      <protection locked="true" hidden="false"/>
    </xf>
    <xf numFmtId="166" fontId="5" fillId="5" borderId="0" xfId="0" applyFont="true" applyBorder="false" applyAlignment="true" applyProtection="true">
      <alignment horizontal="center" vertical="bottom" textRotation="0" wrapText="false" indent="0" shrinkToFit="false"/>
      <protection locked="true" hidden="false"/>
    </xf>
    <xf numFmtId="166" fontId="5" fillId="52" borderId="0" xfId="0" applyFont="true" applyBorder="false" applyAlignment="true" applyProtection="true">
      <alignment horizontal="center" vertical="bottom" textRotation="0" wrapText="false" indent="0" shrinkToFit="false"/>
      <protection locked="true" hidden="false"/>
    </xf>
    <xf numFmtId="166" fontId="5" fillId="25" borderId="0" xfId="0" applyFont="true" applyBorder="false" applyAlignment="true" applyProtection="true">
      <alignment horizontal="center" vertical="bottom" textRotation="0" wrapText="false" indent="0" shrinkToFit="false"/>
      <protection locked="true" hidden="false"/>
    </xf>
    <xf numFmtId="166" fontId="5" fillId="53" borderId="0" xfId="0" applyFont="true" applyBorder="false" applyAlignment="true" applyProtection="true">
      <alignment horizontal="center" vertical="bottom" textRotation="0" wrapText="false" indent="0" shrinkToFit="false"/>
      <protection locked="true" hidden="false"/>
    </xf>
    <xf numFmtId="166" fontId="5" fillId="10" borderId="0" xfId="0" applyFont="true" applyBorder="false" applyAlignment="true" applyProtection="true">
      <alignment horizontal="center" vertical="bottom" textRotation="0" wrapText="false" indent="0" shrinkToFit="false"/>
      <protection locked="true" hidden="false"/>
    </xf>
    <xf numFmtId="166" fontId="5" fillId="41" borderId="0" xfId="0" applyFont="true" applyBorder="false" applyAlignment="true" applyProtection="true">
      <alignment horizontal="center" vertical="bottom" textRotation="0" wrapText="false" indent="0" shrinkToFit="false"/>
      <protection locked="true" hidden="false"/>
    </xf>
    <xf numFmtId="166" fontId="5" fillId="54" borderId="0" xfId="0" applyFont="true" applyBorder="false" applyAlignment="true" applyProtection="true">
      <alignment horizontal="center" vertical="bottom" textRotation="0" wrapText="false" indent="0" shrinkToFit="false"/>
      <protection locked="true" hidden="false"/>
    </xf>
    <xf numFmtId="166" fontId="5" fillId="20" borderId="0" xfId="0" applyFont="true" applyBorder="false" applyAlignment="true" applyProtection="true">
      <alignment horizontal="center" vertical="bottom" textRotation="0" wrapText="false" indent="0" shrinkToFit="false"/>
      <protection locked="true" hidden="false"/>
    </xf>
    <xf numFmtId="166" fontId="5" fillId="42" borderId="0" xfId="0" applyFont="true" applyBorder="false" applyAlignment="true" applyProtection="true">
      <alignment horizontal="center" vertical="bottom" textRotation="0" wrapText="false" indent="0" shrinkToFit="false"/>
      <protection locked="true" hidden="false"/>
    </xf>
    <xf numFmtId="166" fontId="5" fillId="55" borderId="0" xfId="0" applyFont="true" applyBorder="false" applyAlignment="true" applyProtection="true">
      <alignment horizontal="center" vertical="bottom" textRotation="0" wrapText="false" indent="0" shrinkToFit="false"/>
      <protection locked="true" hidden="false"/>
    </xf>
    <xf numFmtId="166" fontId="5" fillId="30" borderId="0" xfId="0" applyFont="true" applyBorder="false" applyAlignment="true" applyProtection="true">
      <alignment horizontal="center" vertical="bottom" textRotation="0" wrapText="false" indent="0" shrinkToFit="false"/>
      <protection locked="true" hidden="false"/>
    </xf>
    <xf numFmtId="166" fontId="5" fillId="31" borderId="0" xfId="0" applyFont="true" applyBorder="false" applyAlignment="true" applyProtection="true">
      <alignment horizontal="center" vertical="bottom" textRotation="0" wrapText="false" indent="0" shrinkToFit="false"/>
      <protection locked="true" hidden="false"/>
    </xf>
    <xf numFmtId="166" fontId="5" fillId="24" borderId="0" xfId="0" applyFont="true" applyBorder="false" applyAlignment="true" applyProtection="true">
      <alignment horizontal="center" vertical="bottom" textRotation="0" wrapText="false" indent="0" shrinkToFit="false"/>
      <protection locked="true" hidden="false"/>
    </xf>
    <xf numFmtId="166" fontId="5" fillId="56" borderId="0" xfId="0" applyFont="true" applyBorder="false" applyAlignment="true" applyProtection="true">
      <alignment horizontal="center" vertical="bottom" textRotation="0" wrapText="false" indent="0" shrinkToFit="false"/>
      <protection locked="true" hidden="false"/>
    </xf>
    <xf numFmtId="166" fontId="5" fillId="57" borderId="0" xfId="0" applyFont="true" applyBorder="false" applyAlignment="true" applyProtection="true">
      <alignment horizontal="center" vertical="bottom" textRotation="0" wrapText="false" indent="0" shrinkToFit="false"/>
      <protection locked="true" hidden="false"/>
    </xf>
    <xf numFmtId="166" fontId="5" fillId="58" borderId="0" xfId="0" applyFont="true" applyBorder="false" applyAlignment="true" applyProtection="true">
      <alignment horizontal="center" vertical="bottom" textRotation="0" wrapText="false" indent="0" shrinkToFit="false"/>
      <protection locked="true" hidden="false"/>
    </xf>
    <xf numFmtId="166" fontId="5" fillId="59" borderId="0" xfId="0" applyFont="true" applyBorder="false" applyAlignment="true" applyProtection="true">
      <alignment horizontal="center" vertical="bottom" textRotation="0" wrapText="false" indent="0" shrinkToFit="false"/>
      <protection locked="true" hidden="false"/>
    </xf>
    <xf numFmtId="166" fontId="5" fillId="60" borderId="0" xfId="0" applyFont="true" applyBorder="false" applyAlignment="true" applyProtection="true">
      <alignment horizontal="center" vertical="bottom" textRotation="0" wrapText="false" indent="0" shrinkToFit="false"/>
      <protection locked="true" hidden="false"/>
    </xf>
    <xf numFmtId="166" fontId="5" fillId="22" borderId="0" xfId="0" applyFont="true" applyBorder="false" applyAlignment="true" applyProtection="true">
      <alignment horizontal="center" vertical="bottom" textRotation="0" wrapText="false" indent="0" shrinkToFit="false"/>
      <protection locked="true" hidden="false"/>
    </xf>
    <xf numFmtId="166" fontId="5" fillId="61" borderId="0" xfId="0" applyFont="true" applyBorder="false" applyAlignment="true" applyProtection="true">
      <alignment horizontal="center" vertical="bottom" textRotation="0" wrapText="false" indent="0" shrinkToFit="false"/>
      <protection locked="true" hidden="false"/>
    </xf>
    <xf numFmtId="168" fontId="5" fillId="0" borderId="0" xfId="0" applyFont="true" applyBorder="false" applyAlignment="true" applyProtection="true">
      <alignment horizontal="center" vertical="bottom" textRotation="0" wrapText="false" indent="0" shrinkToFit="false"/>
      <protection locked="true" hidden="false"/>
    </xf>
    <xf numFmtId="166" fontId="5" fillId="3" borderId="0" xfId="0" applyFont="true" applyBorder="false" applyAlignment="true" applyProtection="true">
      <alignment horizontal="center" vertical="bottom" textRotation="0" wrapText="false" indent="0" shrinkToFit="false"/>
      <protection locked="true" hidden="false"/>
    </xf>
    <xf numFmtId="166" fontId="5" fillId="62" borderId="0" xfId="0" applyFont="true" applyBorder="false" applyAlignment="true" applyProtection="true">
      <alignment horizontal="center" vertical="bottom" textRotation="0" wrapText="false" indent="0" shrinkToFit="false"/>
      <protection locked="true" hidden="false"/>
    </xf>
    <xf numFmtId="166" fontId="5" fillId="63"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8">
    <dxf>
      <fill>
        <patternFill patternType="solid">
          <bgColor rgb="FF000000"/>
        </patternFill>
      </fill>
    </dxf>
    <dxf>
      <fill>
        <patternFill patternType="solid">
          <fgColor rgb="FF000000"/>
          <bgColor rgb="FF000000"/>
        </patternFill>
      </fill>
    </dxf>
    <dxf>
      <fill>
        <patternFill patternType="solid">
          <fgColor rgb="FFEFA9A3"/>
          <bgColor rgb="FF000000"/>
        </patternFill>
      </fill>
    </dxf>
    <dxf>
      <fill>
        <patternFill patternType="solid">
          <fgColor rgb="FFF1B1AB"/>
          <bgColor rgb="FF000000"/>
        </patternFill>
      </fill>
    </dxf>
    <dxf>
      <fill>
        <patternFill patternType="solid">
          <fgColor rgb="FFFAE4E1"/>
          <bgColor rgb="FF000000"/>
        </patternFill>
      </fill>
    </dxf>
    <dxf>
      <fill>
        <patternFill patternType="solid">
          <fgColor rgb="FFFBE8E7"/>
          <bgColor rgb="FF000000"/>
        </patternFill>
      </fill>
    </dxf>
    <dxf>
      <fill>
        <patternFill patternType="solid">
          <fgColor rgb="FFFBE9E8"/>
          <bgColor rgb="FF000000"/>
        </patternFill>
      </fill>
    </dxf>
    <dxf>
      <fill>
        <patternFill patternType="solid">
          <fgColor rgb="FFFBEAE8"/>
          <bgColor rgb="FF000000"/>
        </patternFill>
      </fill>
    </dxf>
    <dxf>
      <fill>
        <patternFill patternType="solid">
          <fgColor rgb="FFFCEEED"/>
          <bgColor rgb="FF000000"/>
        </patternFill>
      </fill>
    </dxf>
    <dxf>
      <fill>
        <patternFill patternType="solid">
          <fgColor rgb="FFFCEFEE"/>
          <bgColor rgb="FF000000"/>
        </patternFill>
      </fill>
    </dxf>
    <dxf>
      <fill>
        <patternFill patternType="solid">
          <fgColor rgb="FFFDEFEE"/>
          <bgColor rgb="FF000000"/>
        </patternFill>
      </fill>
    </dxf>
    <dxf>
      <fill>
        <patternFill patternType="solid">
          <fgColor rgb="FFFDF0EE"/>
          <bgColor rgb="FF000000"/>
        </patternFill>
      </fill>
    </dxf>
    <dxf>
      <fill>
        <patternFill patternType="solid">
          <fgColor rgb="FFFDF1F0"/>
          <bgColor rgb="FF000000"/>
        </patternFill>
      </fill>
    </dxf>
    <dxf>
      <fill>
        <patternFill patternType="solid">
          <fgColor rgb="FFFDF3F2"/>
          <bgColor rgb="FF000000"/>
        </patternFill>
      </fill>
    </dxf>
    <dxf>
      <fill>
        <patternFill patternType="solid">
          <fgColor rgb="FFFDF4F3"/>
          <bgColor rgb="FF000000"/>
        </patternFill>
      </fill>
    </dxf>
    <dxf>
      <fill>
        <patternFill patternType="solid">
          <fgColor rgb="FFFEF5F4"/>
          <bgColor rgb="FF000000"/>
        </patternFill>
      </fill>
    </dxf>
    <dxf>
      <fill>
        <patternFill patternType="solid">
          <fgColor rgb="FFFEF6F5"/>
          <bgColor rgb="FF000000"/>
        </patternFill>
      </fill>
    </dxf>
    <dxf>
      <fill>
        <patternFill patternType="solid">
          <fgColor rgb="FFFEF8F8"/>
          <bgColor rgb="FF000000"/>
        </patternFill>
      </fill>
    </dxf>
    <dxf>
      <fill>
        <patternFill patternType="solid">
          <fgColor rgb="FFFEF9F8"/>
          <bgColor rgb="FF000000"/>
        </patternFill>
      </fill>
    </dxf>
    <dxf>
      <fill>
        <patternFill patternType="solid">
          <fgColor rgb="FFFEF9F9"/>
          <bgColor rgb="FF000000"/>
        </patternFill>
      </fill>
    </dxf>
    <dxf>
      <fill>
        <patternFill patternType="solid">
          <fgColor rgb="FFAECADC"/>
          <bgColor rgb="FF000000"/>
        </patternFill>
      </fill>
    </dxf>
    <dxf>
      <fill>
        <patternFill patternType="solid">
          <fgColor rgb="FFB7CDD4"/>
          <bgColor rgb="FF000000"/>
        </patternFill>
      </fill>
    </dxf>
    <dxf>
      <fill>
        <patternFill patternType="solid">
          <fgColor rgb="FFC6D2C8"/>
          <bgColor rgb="FF000000"/>
        </patternFill>
      </fill>
    </dxf>
    <dxf>
      <fill>
        <patternFill patternType="solid">
          <fgColor rgb="FFCBD4C4"/>
          <bgColor rgb="FF000000"/>
        </patternFill>
      </fill>
    </dxf>
    <dxf>
      <fill>
        <patternFill patternType="solid">
          <fgColor rgb="FFD9D9B8"/>
          <bgColor rgb="FF000000"/>
        </patternFill>
      </fill>
    </dxf>
    <dxf>
      <fill>
        <patternFill patternType="solid">
          <fgColor rgb="FFE3DCB0"/>
          <bgColor rgb="FF000000"/>
        </patternFill>
      </fill>
    </dxf>
    <dxf>
      <fill>
        <patternFill patternType="solid">
          <fgColor rgb="FFE7DDAC"/>
          <bgColor rgb="FF000000"/>
        </patternFill>
      </fill>
    </dxf>
    <dxf>
      <fill>
        <patternFill patternType="solid">
          <fgColor rgb="FFF1E1A4"/>
          <bgColor rgb="FF000000"/>
        </patternFill>
      </fill>
    </dxf>
    <dxf>
      <fill>
        <patternFill patternType="solid">
          <fgColor rgb="FFF8CE99"/>
          <bgColor rgb="FF000000"/>
        </patternFill>
      </fill>
    </dxf>
    <dxf>
      <fill>
        <patternFill patternType="solid">
          <fgColor rgb="FFFBD999"/>
          <bgColor rgb="FF000000"/>
        </patternFill>
      </fill>
    </dxf>
    <dxf>
      <fill>
        <patternFill patternType="solid">
          <fgColor rgb="FFFBE49C"/>
          <bgColor rgb="FF000000"/>
        </patternFill>
      </fill>
    </dxf>
    <dxf>
      <fill>
        <patternFill patternType="solid">
          <fgColor rgb="FFFCDD99"/>
          <bgColor rgb="FF000000"/>
        </patternFill>
      </fill>
    </dxf>
    <dxf>
      <fill>
        <patternFill patternType="solid">
          <fgColor rgb="FFFDE199"/>
          <bgColor rgb="FF000000"/>
        </patternFill>
      </fill>
    </dxf>
    <dxf>
      <fill>
        <patternFill patternType="solid">
          <fgColor rgb="FFFFE599"/>
          <bgColor rgb="FF000000"/>
        </patternFill>
      </fill>
    </dxf>
    <dxf>
      <fill>
        <patternFill patternType="solid">
          <fgColor rgb="FFA4C7E4"/>
          <bgColor rgb="FF000000"/>
        </patternFill>
      </fill>
    </dxf>
    <dxf>
      <fill>
        <patternFill patternType="solid">
          <fgColor rgb="FFA9C9E0"/>
          <bgColor rgb="FF000000"/>
        </patternFill>
      </fill>
    </dxf>
    <dxf>
      <fill>
        <patternFill patternType="solid">
          <fgColor rgb="FFB3CCD8"/>
          <bgColor rgb="FF000000"/>
        </patternFill>
      </fill>
    </dxf>
    <dxf>
      <fill>
        <patternFill patternType="solid">
          <fgColor rgb="FFBCCFD0"/>
          <bgColor rgb="FF000000"/>
        </patternFill>
      </fill>
    </dxf>
    <dxf>
      <fill>
        <patternFill patternType="solid">
          <fgColor rgb="FFC1D1CC"/>
          <bgColor rgb="FF000000"/>
        </patternFill>
      </fill>
    </dxf>
    <dxf>
      <fill>
        <patternFill patternType="solid">
          <fgColor rgb="FFCFD5C0"/>
          <bgColor rgb="FF000000"/>
        </patternFill>
      </fill>
    </dxf>
    <dxf>
      <fill>
        <patternFill patternType="solid">
          <fgColor rgb="FFD4D7BC"/>
          <bgColor rgb="FF000000"/>
        </patternFill>
      </fill>
    </dxf>
    <dxf>
      <fill>
        <patternFill patternType="solid">
          <fgColor rgb="FF9FC5E8"/>
          <bgColor rgb="FF000000"/>
        </patternFill>
      </fill>
    </dxf>
    <dxf>
      <fill>
        <patternFill patternType="solid">
          <fgColor rgb="FFECDFA8"/>
          <bgColor rgb="FF000000"/>
        </patternFill>
      </fill>
    </dxf>
    <dxf>
      <fill>
        <patternFill patternType="solid">
          <fgColor rgb="FFF1B399"/>
          <bgColor rgb="FF000000"/>
        </patternFill>
      </fill>
    </dxf>
    <dxf>
      <fill>
        <patternFill patternType="solid">
          <fgColor rgb="FFF4BF99"/>
          <bgColor rgb="FF000000"/>
        </patternFill>
      </fill>
    </dxf>
    <dxf>
      <fill>
        <patternFill patternType="solid">
          <fgColor rgb="FFDEDAB4"/>
          <bgColor rgb="FF000000"/>
        </patternFill>
      </fill>
    </dxf>
    <dxf>
      <fill>
        <patternFill patternType="solid">
          <fgColor rgb="FFF6E2A0"/>
          <bgColor rgb="FF000000"/>
        </patternFill>
      </fill>
    </dxf>
    <dxf>
      <fill>
        <patternFill patternType="solid">
          <fgColor rgb="FFF9D299"/>
          <bgColor rgb="FF000000"/>
        </patternFill>
      </fill>
    </dxf>
    <dxf>
      <fill>
        <patternFill patternType="solid">
          <fgColor rgb="FFFAD599"/>
          <bgColor rgb="FF000000"/>
        </patternFill>
      </fill>
    </dxf>
    <dxf>
      <fill>
        <patternFill patternType="solid">
          <fgColor rgb="FFB8CED3"/>
          <bgColor rgb="FF000000"/>
        </patternFill>
      </fill>
    </dxf>
    <dxf>
      <fill>
        <patternFill patternType="solid">
          <fgColor rgb="FFBBCFD1"/>
          <bgColor rgb="FF000000"/>
        </patternFill>
      </fill>
    </dxf>
    <dxf>
      <fill>
        <patternFill patternType="solid">
          <fgColor rgb="FFC2D1CB"/>
          <bgColor rgb="FF000000"/>
        </patternFill>
      </fill>
    </dxf>
    <dxf>
      <fill>
        <patternFill patternType="solid">
          <fgColor rgb="FFC3D1CA"/>
          <bgColor rgb="FF000000"/>
        </patternFill>
      </fill>
    </dxf>
    <dxf>
      <fill>
        <patternFill patternType="solid">
          <fgColor rgb="FFCAD4C5"/>
          <bgColor rgb="FF000000"/>
        </patternFill>
      </fill>
    </dxf>
    <dxf>
      <fill>
        <patternFill patternType="solid">
          <fgColor rgb="FFCCD4C3"/>
          <bgColor rgb="FF000000"/>
        </patternFill>
      </fill>
    </dxf>
    <dxf>
      <fill>
        <patternFill patternType="solid">
          <fgColor rgb="FFCED5C2"/>
          <bgColor rgb="FF000000"/>
        </patternFill>
      </fill>
    </dxf>
    <dxf>
      <fill>
        <patternFill patternType="solid">
          <fgColor rgb="FFD1D6BE"/>
          <bgColor rgb="FF000000"/>
        </patternFill>
      </fill>
    </dxf>
    <dxf>
      <fill>
        <patternFill patternType="solid">
          <fgColor rgb="FFD6D8BA"/>
          <bgColor rgb="FF000000"/>
        </patternFill>
      </fill>
    </dxf>
    <dxf>
      <fill>
        <patternFill patternType="solid">
          <fgColor rgb="FFD7D8BA"/>
          <bgColor rgb="FF000000"/>
        </patternFill>
      </fill>
    </dxf>
    <dxf>
      <fill>
        <patternFill patternType="solid">
          <fgColor rgb="FFD8D8B9"/>
          <bgColor rgb="FF000000"/>
        </patternFill>
      </fill>
    </dxf>
    <dxf>
      <fill>
        <patternFill patternType="solid">
          <fgColor rgb="FFDAD9B7"/>
          <bgColor rgb="FF000000"/>
        </patternFill>
      </fill>
    </dxf>
    <dxf>
      <fill>
        <patternFill patternType="solid">
          <fgColor rgb="FFE2DCB1"/>
          <bgColor rgb="FF000000"/>
        </patternFill>
      </fill>
    </dxf>
    <dxf>
      <fill>
        <patternFill patternType="solid">
          <fgColor rgb="FFEA9999"/>
          <bgColor rgb="FF000000"/>
        </patternFill>
      </fill>
    </dxf>
    <dxf>
      <fill>
        <patternFill patternType="solid">
          <fgColor rgb="FFEDDFA8"/>
          <bgColor rgb="FF000000"/>
        </patternFill>
      </fill>
    </dxf>
    <dxf>
      <fill>
        <patternFill patternType="solid">
          <fgColor rgb="FFF0E0A5"/>
          <bgColor rgb="FF000000"/>
        </patternFill>
      </fill>
    </dxf>
    <dxf>
      <fill>
        <patternFill patternType="solid">
          <fgColor rgb="FFF9E39E"/>
          <bgColor rgb="FF000000"/>
        </patternFill>
      </fill>
    </dxf>
    <dxf>
      <fill>
        <patternFill patternType="solid">
          <fgColor rgb="FFFEE199"/>
          <bgColor rgb="FF000000"/>
        </patternFill>
      </fill>
    </dxf>
    <dxf>
      <font>
        <b val="1"/>
      </font>
    </dxf>
  </dxfs>
  <colors>
    <indexedColors>
      <rgbColor rgb="FF000000"/>
      <rgbColor rgb="FFFFFFFF"/>
      <rgbColor rgb="FFFF0000"/>
      <rgbColor rgb="FFFAE3E0"/>
      <rgbColor rgb="FF0000FF"/>
      <rgbColor rgb="FFF8D8D5"/>
      <rgbColor rgb="FFFCEAE8"/>
      <rgbColor rgb="FFFBE9E8"/>
      <rgbColor rgb="FFFEF6F6"/>
      <rgbColor rgb="FFFBE8E7"/>
      <rgbColor rgb="FFFFFCFC"/>
      <rgbColor rgb="FFF9DEDB"/>
      <rgbColor rgb="FFFDF1F0"/>
      <rgbColor rgb="FFFBE4E2"/>
      <rgbColor rgb="FFEEC3C1"/>
      <rgbColor rgb="FFF9DBD8"/>
      <rgbColor rgb="FFF3B8B3"/>
      <rgbColor rgb="FFFAE1DF"/>
      <rgbColor rgb="FFFEF5F4"/>
      <rgbColor rgb="FFFEF9F9"/>
      <rgbColor rgb="FFFEF5F5"/>
      <rgbColor rgb="FFE67C73"/>
      <rgbColor rgb="FFFBE7E6"/>
      <rgbColor rgb="FFF7D3CF"/>
      <rgbColor rgb="FFFFFDFD"/>
      <rgbColor rgb="FFFCEBEA"/>
      <rgbColor rgb="FFF8D6D3"/>
      <rgbColor rgb="FFFCEEED"/>
      <rgbColor rgb="FFFDF2F1"/>
      <rgbColor rgb="FFFEF7F7"/>
      <rgbColor rgb="FFFBE5E3"/>
      <rgbColor rgb="FFFFFAFA"/>
      <rgbColor rgb="FFFAE0DE"/>
      <rgbColor rgb="FFFFFEFE"/>
      <rgbColor rgb="FFFDF4F3"/>
      <rgbColor rgb="FFFDEFEE"/>
      <rgbColor rgb="FFF7CFCC"/>
      <rgbColor rgb="FFF1ADA8"/>
      <rgbColor rgb="FFED9992"/>
      <rgbColor rgb="FFF6CBC6"/>
      <rgbColor rgb="FF1E6EEA"/>
      <rgbColor rgb="FFF9DCDA"/>
      <rgbColor rgb="FFF3BDB8"/>
      <rgbColor rgb="FFF3BBB6"/>
      <rgbColor rgb="FFF29500"/>
      <rgbColor rgb="FFEB9189"/>
      <rgbColor rgb="FF5A6557"/>
      <rgbColor rgb="FF7FA793"/>
      <rgbColor rgb="FFFDF3F3"/>
      <rgbColor rgb="FFFADFDD"/>
      <rgbColor rgb="FFFEF8F8"/>
      <rgbColor rgb="FFFDF0EF"/>
      <rgbColor rgb="FFFBE6E5"/>
      <rgbColor rgb="FFFAE2E0"/>
      <rgbColor rgb="FFFCECEB"/>
      <rgbColor rgb="FFFCEDE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berria.eus/kirola/hau-badakit-egunen-batean-aterako-da-barruan-dudan-jokoa_2123931_102.html" TargetMode="External"/><Relationship Id="rId3" Type="http://schemas.openxmlformats.org/officeDocument/2006/relationships/hyperlink" Target="https://www.berria.eus/ekonomia/kutxabankek-2116-euro-bideratu-zituen-karbono-gutxiko-proiektuak-finantzatzera_2120192_102.html" TargetMode="External"/><Relationship Id="rId4" Type="http://schemas.openxmlformats.org/officeDocument/2006/relationships/hyperlink" Target="https://www.berria.eus/bizigiro/tradizioa-eta-abangoardia_2126379_102.html" TargetMode="External"/><Relationship Id="rId5" Type="http://schemas.openxmlformats.org/officeDocument/2006/relationships/hyperlink" Target="https://www.berria.eus/mundua/nbek-43-mila-milioi-euro-eskatu-ditu-datorren-urtean-laguntza-humanitarioa-bermatzeko_2117704_102.html" TargetMode="External"/><Relationship Id="rId6" Type="http://schemas.openxmlformats.org/officeDocument/2006/relationships/hyperlink" Target="https://www.berria.eus/kultura/umeak-amari-eman-dio-bidea_2124508_102.html" TargetMode="External"/><Relationship Id="rId7" Type="http://schemas.openxmlformats.org/officeDocument/2006/relationships/hyperlink" Target="https://www.berria.eus/euskal-herria/pintaketa-faxistak-egin-dituzte-irunean_2124262_102.html" TargetMode="External"/><Relationship Id="rId8" Type="http://schemas.openxmlformats.org/officeDocument/2006/relationships/hyperlink" Target="https://www.berria.eus/ekonomia/eolikoen-arlorako-laguntzetan-orain-halako-bi-jarriko-du-ebk-1400-milioi_1343992_102.html" TargetMode="External"/><Relationship Id="rId9" Type="http://schemas.openxmlformats.org/officeDocument/2006/relationships/hyperlink" Target="https://www.berria.eus/kultura/itsasun-egingo-dute-irailekoak-poesia-jaialdia-aurten_2125293_102.html" TargetMode="External"/><Relationship Id="rId10" Type="http://schemas.openxmlformats.org/officeDocument/2006/relationships/hyperlink" Target="https://www.berria.eus/kultura/nolabaiteko-kontrarreforma-bat-gertatzen-ari-da-eta-horren-aurrean-elkartu-beharra-daukagu_2124481_102.html" TargetMode="External"/><Relationship Id="rId11" Type="http://schemas.openxmlformats.org/officeDocument/2006/relationships/hyperlink" Target="https://www.berria.eus/euskal-herria/ortuzarrek-dio-eajk-euskadiko-estatus-berriari-bultzada-eman-nahi-diola_2124257_102.html" TargetMode="External"/><Relationship Id="rId1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berria.eus/kirola/hau-badakit-egunen-batean-aterako-da-barruan-dudan-jokoa_2123931_102.html" TargetMode="External"/><Relationship Id="rId3" Type="http://schemas.openxmlformats.org/officeDocument/2006/relationships/hyperlink" Target="https://www.berria.eus/ekonomia/kutxabankek-2116-euro-bideratu-zituen-karbono-gutxiko-proiektuak-finantzatzera_2120192_102.html" TargetMode="External"/><Relationship Id="rId4" Type="http://schemas.openxmlformats.org/officeDocument/2006/relationships/hyperlink" Target="https://www.berria.eus/bizigiro/tradizioa-eta-abangoardia_2126379_102.html" TargetMode="External"/><Relationship Id="rId5" Type="http://schemas.openxmlformats.org/officeDocument/2006/relationships/hyperlink" Target="https://www.berria.eus/mundua/nbek-43-mila-milioi-euro-eskatu-ditu-datorren-urtean-laguntza-humanitarioa-bermatzeko_2117704_102.html" TargetMode="External"/><Relationship Id="rId6" Type="http://schemas.openxmlformats.org/officeDocument/2006/relationships/hyperlink" Target="https://www.berria.eus/kultura/umeak-amari-eman-dio-bidea_2124508_102.html" TargetMode="External"/><Relationship Id="rId7" Type="http://schemas.openxmlformats.org/officeDocument/2006/relationships/hyperlink" Target="https://www.berria.eus/euskal-herria/pintaketa-faxistak-egin-dituzte-irunean_2124262_102.html" TargetMode="External"/><Relationship Id="rId8" Type="http://schemas.openxmlformats.org/officeDocument/2006/relationships/hyperlink" Target="http://pic.twitter.com/nOB6PpczHw" TargetMode="External"/><Relationship Id="rId9" Type="http://schemas.openxmlformats.org/officeDocument/2006/relationships/hyperlink" Target="https://www.berria.eus/ekonomia/eolikoen-arlorako-laguntzetan-orain-halako-bi-jarriko-du-ebk-1400-milioi_1343992_102.html" TargetMode="External"/><Relationship Id="rId10" Type="http://schemas.openxmlformats.org/officeDocument/2006/relationships/hyperlink" Target="https://www.berria.eus/kultura/itsasun-egingo-dute-irailekoak-poesia-jaialdia-aurten_2125293_102.html" TargetMode="External"/><Relationship Id="rId11" Type="http://schemas.openxmlformats.org/officeDocument/2006/relationships/hyperlink" Target="https://www.berria.eus/kultura/nolabaiteko-kontrarreforma-bat-gertatzen-ari-da-eta-horren-aurrean-elkartu-beharra-daukagu_2124481_102.html" TargetMode="External"/><Relationship Id="rId12" Type="http://schemas.openxmlformats.org/officeDocument/2006/relationships/hyperlink" Target="https://www.berria.eus/euskal-herria/ortuzarrek-dio-eajk-euskadiko-estatus-berriari-bultzada-eman-nahi-diola_2124257_102.html" TargetMode="External"/><Relationship Id="rId1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berria.eus/kirola/hau-badakit-egunen-batean-aterako-da-barruan-dudan-jokoa_2123931_102.html" TargetMode="External"/><Relationship Id="rId3" Type="http://schemas.openxmlformats.org/officeDocument/2006/relationships/hyperlink" Target="https://www.berria.eus/ekonomia/kutxabankek-2116-euro-bideratu-zituen-karbono-gutxiko-proiektuak-finantzatzera_2120192_102.html" TargetMode="External"/><Relationship Id="rId4" Type="http://schemas.openxmlformats.org/officeDocument/2006/relationships/hyperlink" Target="https://www.berria.eus/bizigiro/tradizioa-eta-abangoardia_2126379_102.html" TargetMode="External"/><Relationship Id="rId5" Type="http://schemas.openxmlformats.org/officeDocument/2006/relationships/hyperlink" Target="https://www.berria.eus/mundua/nbek-43-mila-milioi-euro-eskatu-ditu-datorren-urtean-laguntza-humanitarioa-bermatzeko_2117704_102.html" TargetMode="External"/><Relationship Id="rId6" Type="http://schemas.openxmlformats.org/officeDocument/2006/relationships/hyperlink" Target="https://www.berria.eus/kultura/umeak-amari-eman-dio-bidea_2124508_102.html" TargetMode="External"/><Relationship Id="rId7" Type="http://schemas.openxmlformats.org/officeDocument/2006/relationships/hyperlink" Target="https://www.berria.eus/euskal-herria/pintaketa-faxistak-egin-dituzte-irunean_2124262_102.html" TargetMode="External"/><Relationship Id="rId8" Type="http://schemas.openxmlformats.org/officeDocument/2006/relationships/hyperlink" Target="https://www.berria.eus/ekonomia/eolikoen-arlorako-laguntzetan-orain-halako-bi-jarriko-du-ebk-1400-milioi_1343992_102.html" TargetMode="External"/><Relationship Id="rId9" Type="http://schemas.openxmlformats.org/officeDocument/2006/relationships/hyperlink" Target="https://www.berria.eus/kultura/itsasun-egingo-dute-irailekoak-poesia-jaialdia-aurten_2125293_102.html" TargetMode="External"/><Relationship Id="rId10" Type="http://schemas.openxmlformats.org/officeDocument/2006/relationships/hyperlink" Target="https://www.berria.eus/kultura/nolabaiteko-kontrarreforma-bat-gertatzen-ari-da-eta-horren-aurrean-elkartu-beharra-daukagu_2124481_102.html" TargetMode="External"/><Relationship Id="rId11" Type="http://schemas.openxmlformats.org/officeDocument/2006/relationships/hyperlink" Target="https://www.berria.eus/euskal-herria/ortuzarrek-dio-eajk-euskadiko-estatus-berriari-bultzada-eman-nahi-diola_2124257_102.html" TargetMode="External"/><Relationship Id="rId1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berria.eus/kirola/hau-badakit-egunen-batean-aterako-da-barruan-dudan-jokoa_2123931_102.html" TargetMode="External"/><Relationship Id="rId3" Type="http://schemas.openxmlformats.org/officeDocument/2006/relationships/hyperlink" Target="https://www.berria.eus/ekonomia/kutxabankek-2116-euro-bideratu-zituen-karbono-gutxiko-proiektuak-finantzatzera_2120192_102.html" TargetMode="External"/><Relationship Id="rId4" Type="http://schemas.openxmlformats.org/officeDocument/2006/relationships/hyperlink" Target="https://www.berria.eus/bizigiro/tradizioa-eta-abangoardia_2126379_102.html" TargetMode="External"/><Relationship Id="rId5" Type="http://schemas.openxmlformats.org/officeDocument/2006/relationships/hyperlink" Target="https://www.berria.eus/mundua/nbek-43-mila-milioi-euro-eskatu-ditu-datorren-urtean-laguntza-humanitarioa-bermatzeko_2117704_102.html" TargetMode="External"/><Relationship Id="rId6" Type="http://schemas.openxmlformats.org/officeDocument/2006/relationships/hyperlink" Target="https://www.berria.eus/kultura/umeak-amari-eman-dio-bidea_2124508_102.html" TargetMode="External"/><Relationship Id="rId7" Type="http://schemas.openxmlformats.org/officeDocument/2006/relationships/hyperlink" Target="https://www.berria.eus/euskal-herria/pintaketa-faxistak-egin-dituzte-irunean_2124262_102.html" TargetMode="External"/><Relationship Id="rId8" Type="http://schemas.openxmlformats.org/officeDocument/2006/relationships/hyperlink" Target="https://www.berria.eus/ekonomia/eolikoen-arlorako-laguntzetan-orain-halako-bi-jarriko-du-ebk-1400-milioi_1343992_102.html" TargetMode="External"/><Relationship Id="rId9" Type="http://schemas.openxmlformats.org/officeDocument/2006/relationships/hyperlink" Target="https://www.berria.eus/kultura/itsasun-egingo-dute-irailekoak-poesia-jaialdia-aurten_2125293_102.html" TargetMode="External"/><Relationship Id="rId10" Type="http://schemas.openxmlformats.org/officeDocument/2006/relationships/hyperlink" Target="https://www.berria.eus/kultura/nolabaiteko-kontrarreforma-bat-gertatzen-ari-da-eta-horren-aurrean-elkartu-beharra-daukagu_2124481_102.html" TargetMode="External"/><Relationship Id="rId11" Type="http://schemas.openxmlformats.org/officeDocument/2006/relationships/hyperlink" Target="https://www.berria.eus/euskal-herria/ortuzarrek-dio-eajk-euskadiko-estatus-berriari-bultzada-eman-nahi-diola_2124257_102.html" TargetMode="External"/><Relationship Id="rId1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berria.eus/kirola/hau-badakit-egunen-batean-aterako-da-barruan-dudan-jokoa_2123931_102.html" TargetMode="External"/><Relationship Id="rId3" Type="http://schemas.openxmlformats.org/officeDocument/2006/relationships/hyperlink" Target="https://www.berria.eus/ekonomia/kutxabankek-2116-euro-bideratu-zituen-karbono-gutxiko-proiektuak-finantzatzera_2120192_102.html" TargetMode="External"/><Relationship Id="rId4" Type="http://schemas.openxmlformats.org/officeDocument/2006/relationships/hyperlink" Target="https://www.berria.eus/bizigiro/tradizioa-eta-abangoardia_2126379_102.html" TargetMode="External"/><Relationship Id="rId5" Type="http://schemas.openxmlformats.org/officeDocument/2006/relationships/hyperlink" Target="https://www.berria.eus/mundua/nbek-43-mila-milioi-euro-eskatu-ditu-datorren-urtean-laguntza-humanitarioa-bermatzeko_2117704_102.html" TargetMode="External"/><Relationship Id="rId6" Type="http://schemas.openxmlformats.org/officeDocument/2006/relationships/hyperlink" Target="https://www.berria.eus/kultura/umeak-amari-eman-dio-bidea_2124508_102.html" TargetMode="External"/><Relationship Id="rId7" Type="http://schemas.openxmlformats.org/officeDocument/2006/relationships/hyperlink" Target="https://www.berria.eus/euskal-herria/pintaketa-faxistak-egin-dituzte-irunean_2124262_102.html" TargetMode="External"/><Relationship Id="rId8" Type="http://schemas.openxmlformats.org/officeDocument/2006/relationships/hyperlink" Target="https://www.berria.eus/ekonomia/eolikoen-arlorako-laguntzetan-orain-halako-bi-jarriko-du-ebk-1400-milioi_1343992_102.html" TargetMode="External"/><Relationship Id="rId9" Type="http://schemas.openxmlformats.org/officeDocument/2006/relationships/hyperlink" Target="https://www.berria.eus/kultura/itsasun-egingo-dute-irailekoak-poesia-jaialdia-aurten_2125293_102.html" TargetMode="External"/><Relationship Id="rId10" Type="http://schemas.openxmlformats.org/officeDocument/2006/relationships/hyperlink" Target="https://www.berria.eus/kultura/nolabaiteko-kontrarreforma-bat-gertatzen-ari-da-eta-horren-aurrean-elkartu-beharra-daukagu_2124481_102.html" TargetMode="External"/><Relationship Id="rId11" Type="http://schemas.openxmlformats.org/officeDocument/2006/relationships/hyperlink" Target="https://www.berria.eus/euskal-herria/ortuzarrek-dio-eajk-euskadiko-estatus-berriari-bultzada-eman-nahi-diola_2124257_102.html" TargetMode="External"/><Relationship Id="rId1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berria.eus/kirola/hau-badakit-egunen-batean-aterako-da-barruan-dudan-jokoa_2123931_102.html" TargetMode="External"/><Relationship Id="rId3" Type="http://schemas.openxmlformats.org/officeDocument/2006/relationships/hyperlink" Target="https://www.berria.eus/ekonomia/kutxabankek-2116-euro-bideratu-zituen-karbono-gutxiko-proiektuak-finantzatzera_2120192_102.html" TargetMode="External"/><Relationship Id="rId4" Type="http://schemas.openxmlformats.org/officeDocument/2006/relationships/hyperlink" Target="https://www.berria.eus/bizigiro/tradizioa-eta-abangoardia_2126379_102.html" TargetMode="External"/><Relationship Id="rId5" Type="http://schemas.openxmlformats.org/officeDocument/2006/relationships/hyperlink" Target="https://www.berria.eus/mundua/nbek-43-mila-milioi-euro-eskatu-ditu-datorren-urtean-laguntza-humanitarioa-bermatzeko_2117704_102.html" TargetMode="External"/><Relationship Id="rId6" Type="http://schemas.openxmlformats.org/officeDocument/2006/relationships/hyperlink" Target="https://www.berria.eus/kultura/umeak-amari-eman-dio-bidea_2124508_102.html" TargetMode="External"/><Relationship Id="rId7" Type="http://schemas.openxmlformats.org/officeDocument/2006/relationships/hyperlink" Target="https://www.berria.eus/euskal-herria/pintaketa-faxistak-egin-dituzte-irunean_2124262_102.html" TargetMode="External"/><Relationship Id="rId8" Type="http://schemas.openxmlformats.org/officeDocument/2006/relationships/hyperlink" Target="https://www.berria.eus/ekonomia/eolikoen-arlorako-laguntzetan-orain-halako-bi-jarriko-du-ebk-1400-milioi_1343992_102.html" TargetMode="External"/><Relationship Id="rId9" Type="http://schemas.openxmlformats.org/officeDocument/2006/relationships/hyperlink" Target="https://www.berria.eus/kultura/itsasun-egingo-dute-irailekoak-poesia-jaialdia-aurten_2125293_102.html" TargetMode="External"/><Relationship Id="rId10" Type="http://schemas.openxmlformats.org/officeDocument/2006/relationships/hyperlink" Target="https://www.berria.eus/kultura/nolabaiteko-kontrarreforma-bat-gertatzen-ari-da-eta-horren-aurrean-elkartu-beharra-daukagu_2124481_102.html" TargetMode="External"/><Relationship Id="rId11" Type="http://schemas.openxmlformats.org/officeDocument/2006/relationships/hyperlink" Target="https://www.berria.eus/euskal-herria/ortuzarrek-dio-eajk-euskadiko-estatus-berriari-bultzada-eman-nahi-diola_2124257_102.html" TargetMode="External"/><Relationship Id="rId1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7BB8A"/>
    <pageSetUpPr fitToPage="false"/>
  </sheetPr>
  <dimension ref="A1:R10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1" sqref="A52:A101 D2"/>
    </sheetView>
  </sheetViews>
  <sheetFormatPr defaultColWidth="12.6328125" defaultRowHeight="15.75" zeroHeight="false" outlineLevelRow="0" outlineLevelCol="0"/>
  <cols>
    <col collapsed="false" customWidth="true" hidden="false" outlineLevel="0" max="1" min="1" style="1" width="14.88"/>
    <col collapsed="false" customWidth="true" hidden="false" outlineLevel="0" max="2" min="2" style="1" width="17.75"/>
    <col collapsed="false" customWidth="true" hidden="false" outlineLevel="0" max="18" min="13" style="1" width="7.63"/>
  </cols>
  <sheetData>
    <row r="1" customFormat="false" ht="15.75" hidden="false" customHeight="false" outlineLevel="0" collapsed="false">
      <c r="A1" s="2" t="s">
        <v>0</v>
      </c>
      <c r="B1" s="2" t="s">
        <v>1</v>
      </c>
      <c r="C1" s="2" t="s">
        <v>2</v>
      </c>
      <c r="D1" s="2" t="s">
        <v>3</v>
      </c>
      <c r="E1" s="3" t="s">
        <v>4</v>
      </c>
      <c r="F1" s="3" t="s">
        <v>5</v>
      </c>
      <c r="G1" s="3" t="s">
        <v>6</v>
      </c>
      <c r="H1" s="3" t="s">
        <v>7</v>
      </c>
      <c r="I1" s="3" t="s">
        <v>8</v>
      </c>
      <c r="J1" s="2" t="s">
        <v>9</v>
      </c>
      <c r="K1" s="3" t="s">
        <v>10</v>
      </c>
      <c r="L1" s="4"/>
      <c r="M1" s="2"/>
      <c r="N1" s="5" t="s">
        <v>3</v>
      </c>
      <c r="O1" s="3" t="s">
        <v>11</v>
      </c>
      <c r="P1" s="3" t="s">
        <v>12</v>
      </c>
      <c r="Q1" s="3" t="s">
        <v>13</v>
      </c>
      <c r="R1" s="3" t="s">
        <v>14</v>
      </c>
    </row>
    <row r="2" customFormat="false" ht="15.75" hidden="false" customHeight="false" outlineLevel="0" collapsed="false">
      <c r="A2" s="4"/>
      <c r="B2" s="4" t="s">
        <v>15</v>
      </c>
      <c r="C2" s="6" t="s">
        <v>16</v>
      </c>
      <c r="D2" s="7" t="n">
        <f aca="false">IFERROR(__xludf.dummyfunction("AVERAGE(FILTER('__flatlist__'!D$2:D1012,('__flatlist__'!$B$2:$B1012=$B2),('__flatlist__'!$C$2:$C1012=$C2)))"),0.605164306889905)</f>
        <v>0.6051643069</v>
      </c>
      <c r="E2" s="8" t="n">
        <f aca="false">IFERROR(__xludf.dummyfunction("AVERAGE(FILTER('__flatlist__'!E$2:E1012,('__flatlist__'!$B$2:$B1012=$B2),('__flatlist__'!$C$2:$C1012=$C2)))"),3.6)</f>
        <v>3.6</v>
      </c>
      <c r="F2" s="8" t="n">
        <f aca="false">IFERROR(__xludf.dummyfunction("AVERAGE(FILTER('__flatlist__'!F$2:F1012,('__flatlist__'!$B$2:$B1012=$B2),('__flatlist__'!$C$2:$C1012=$C2)))"),4.9)</f>
        <v>4.9</v>
      </c>
      <c r="G2" s="8" t="n">
        <f aca="false">IFERROR(__xludf.dummyfunction("AVERAGE(FILTER('__flatlist__'!G$2:G1012,('__flatlist__'!$B$2:$B1012=$B2),('__flatlist__'!$C$2:$C1012=$C2)))"),5)</f>
        <v>5</v>
      </c>
      <c r="H2" s="8" t="n">
        <f aca="false">IFERROR(__xludf.dummyfunction("AVERAGE(FILTER('__flatlist__'!H$2:H1012,('__flatlist__'!$B$2:$B1012=$B2),('__flatlist__'!$C$2:$C1012=$C2)))"),4.5)</f>
        <v>4.5</v>
      </c>
      <c r="I2" s="8" t="n">
        <f aca="false">IFERROR(__xludf.dummyfunction("AVERAGE(FILTER('__flatlist__'!I$2:I1012,('__flatlist__'!$B$2:$B1012=$B2),('__flatlist__'!$C$2:$C1012=$C2)))"),2.6)</f>
        <v>2.6</v>
      </c>
      <c r="J2" s="8" t="n">
        <f aca="false">AVERAGE(E2:I2)</f>
        <v>4.12</v>
      </c>
      <c r="K2" s="9"/>
      <c r="M2" s="3" t="s">
        <v>11</v>
      </c>
      <c r="N2" s="10" t="n">
        <f aca="false">CORREL(__flatlist__!D:D,__flatlist__!E:E)</f>
        <v>0.002191477244</v>
      </c>
      <c r="O2" s="10"/>
      <c r="P2" s="10"/>
      <c r="Q2" s="10"/>
      <c r="R2" s="10"/>
    </row>
    <row r="3" customFormat="false" ht="15.75" hidden="false" customHeight="false" outlineLevel="0" collapsed="false">
      <c r="A3" s="4"/>
      <c r="B3" s="4" t="s">
        <v>15</v>
      </c>
      <c r="C3" s="6"/>
      <c r="D3" s="7" t="n">
        <f aca="false">IFERROR(__xludf.dummyfunction("AVERAGE(FILTER('__flatlist__'!D$2:D1012,('__flatlist__'!$B$2:$B1012=$B3),('__flatlist__'!$C$2:$C1012=$C3)))"),0.662184244617632)</f>
        <v>0.6621842446</v>
      </c>
      <c r="E3" s="8" t="str">
        <f aca="false">IFERROR(__xludf.dummyfunction("AVERAGE(FILTER('__flatlist__'!E$2:E1012,('__flatlist__'!$B$2:$B1012=$B3),('__flatlist__'!$C$2:$C1012=$C3)))"),"#DIV/0!")</f>
        <v>#DIV/0!</v>
      </c>
      <c r="F3" s="8" t="str">
        <f aca="false">IFERROR(__xludf.dummyfunction("AVERAGE(FILTER('__flatlist__'!F$2:F1012,('__flatlist__'!$B$2:$B1012=$B3),('__flatlist__'!$C$2:$C1012=$C3)))"),"#DIV/0!")</f>
        <v>#DIV/0!</v>
      </c>
      <c r="G3" s="8" t="str">
        <f aca="false">IFERROR(__xludf.dummyfunction("AVERAGE(FILTER('__flatlist__'!G$2:G1012,('__flatlist__'!$B$2:$B1012=$B3),('__flatlist__'!$C$2:$C1012=$C3)))"),"#DIV/0!")</f>
        <v>#DIV/0!</v>
      </c>
      <c r="H3" s="8" t="str">
        <f aca="false">IFERROR(__xludf.dummyfunction("AVERAGE(FILTER('__flatlist__'!H$2:H1012,('__flatlist__'!$B$2:$B1012=$B3),('__flatlist__'!$C$2:$C1012=$C3)))"),"#DIV/0!")</f>
        <v>#DIV/0!</v>
      </c>
      <c r="I3" s="8" t="str">
        <f aca="false">IFERROR(__xludf.dummyfunction("AVERAGE(FILTER('__flatlist__'!I$2:I1012,('__flatlist__'!$B$2:$B1012=$B3),('__flatlist__'!$C$2:$C1012=$C3)))"),"#DIV/0!")</f>
        <v>#DIV/0!</v>
      </c>
      <c r="J3" s="11" t="e">
        <f aca="false">AVERAGE(E3:I3)</f>
        <v>#DIV/0!</v>
      </c>
      <c r="M3" s="2" t="s">
        <v>12</v>
      </c>
      <c r="N3" s="10" t="n">
        <f aca="false">CORREL(__flatlist__!D:D,__flatlist__!F:F)</f>
        <v>0.004147383412</v>
      </c>
      <c r="O3" s="10" t="n">
        <f aca="false">CORREL(__flatlist__!E:E,__flatlist__!F:F)</f>
        <v>0.1242929956</v>
      </c>
      <c r="P3" s="10"/>
      <c r="Q3" s="10"/>
      <c r="R3" s="10"/>
    </row>
    <row r="4" customFormat="false" ht="15.75" hidden="false" customHeight="false" outlineLevel="0" collapsed="false">
      <c r="A4" s="4"/>
      <c r="B4" s="4" t="s">
        <v>17</v>
      </c>
      <c r="C4" s="6" t="s">
        <v>8</v>
      </c>
      <c r="D4" s="7" t="n">
        <f aca="false">IFERROR(__xludf.dummyfunction("AVERAGE(FILTER('__flatlist__'!D$2:D1012,('__flatlist__'!$B$2:$B1012=$B4),('__flatlist__'!$C$2:$C1012=$C4)))"),0.124108872548345)</f>
        <v>0.1241088725</v>
      </c>
      <c r="E4" s="8" t="n">
        <f aca="false">IFERROR(__xludf.dummyfunction("AVERAGE(FILTER('__flatlist__'!E$2:E1012,('__flatlist__'!$B$2:$B1012=$B4),('__flatlist__'!$C$2:$C1012=$C4)))"),2.8)</f>
        <v>2.8</v>
      </c>
      <c r="F4" s="8" t="n">
        <f aca="false">IFERROR(__xludf.dummyfunction("AVERAGE(FILTER('__flatlist__'!F$2:F1012,('__flatlist__'!$B$2:$B1012=$B4),('__flatlist__'!$C$2:$C1012=$C4)))"),4.2)</f>
        <v>4.2</v>
      </c>
      <c r="G4" s="8" t="n">
        <f aca="false">IFERROR(__xludf.dummyfunction("AVERAGE(FILTER('__flatlist__'!G$2:G1012,('__flatlist__'!$B$2:$B1012=$B4),('__flatlist__'!$C$2:$C1012=$C4)))"),4.6)</f>
        <v>4.6</v>
      </c>
      <c r="H4" s="8" t="n">
        <f aca="false">IFERROR(__xludf.dummyfunction("AVERAGE(FILTER('__flatlist__'!H$2:H1012,('__flatlist__'!$B$2:$B1012=$B4),('__flatlist__'!$C$2:$C1012=$C4)))"),2.9)</f>
        <v>2.9</v>
      </c>
      <c r="I4" s="8" t="n">
        <f aca="false">IFERROR(__xludf.dummyfunction("AVERAGE(FILTER('__flatlist__'!I$2:I1012,('__flatlist__'!$B$2:$B1012=$B4),('__flatlist__'!$C$2:$C1012=$C4)))"),4.8)</f>
        <v>4.8</v>
      </c>
      <c r="J4" s="8" t="n">
        <f aca="false">AVERAGE(E4:I4)</f>
        <v>3.86</v>
      </c>
      <c r="K4" s="9" t="n">
        <f aca="false">RANK(J4,$J$4:$J$23,FALSE())</f>
        <v>12</v>
      </c>
      <c r="M4" s="2" t="s">
        <v>13</v>
      </c>
      <c r="N4" s="10" t="n">
        <f aca="false">CORREL(__flatlist__!D:D,__flatlist__!G:G)</f>
        <v>-0.2527508424</v>
      </c>
      <c r="O4" s="10" t="n">
        <f aca="false">CORREL(__flatlist__!E:E,__flatlist__!G:G)</f>
        <v>0.118290023</v>
      </c>
      <c r="P4" s="10" t="n">
        <f aca="false">CORREL(__flatlist__!F:F,__flatlist__!G:G)</f>
        <v>0.1792610927</v>
      </c>
      <c r="Q4" s="10"/>
      <c r="R4" s="10"/>
    </row>
    <row r="5" customFormat="false" ht="15.75" hidden="false" customHeight="false" outlineLevel="0" collapsed="false">
      <c r="A5" s="4"/>
      <c r="B5" s="4" t="s">
        <v>17</v>
      </c>
      <c r="C5" s="6" t="s">
        <v>18</v>
      </c>
      <c r="D5" s="7" t="n">
        <f aca="false">IFERROR(__xludf.dummyfunction("AVERAGE(FILTER('__flatlist__'!D$2:D1012,('__flatlist__'!$B$2:$B1012=$B5),('__flatlist__'!$C$2:$C1012=$C5)))"),0.178366161484829)</f>
        <v>0.1783661615</v>
      </c>
      <c r="E5" s="8" t="n">
        <f aca="false">IFERROR(__xludf.dummyfunction("AVERAGE(FILTER('__flatlist__'!E$2:E1012,('__flatlist__'!$B$2:$B1012=$B5),('__flatlist__'!$C$2:$C1012=$C5)))"),3.1)</f>
        <v>3.1</v>
      </c>
      <c r="F5" s="8" t="n">
        <f aca="false">IFERROR(__xludf.dummyfunction("AVERAGE(FILTER('__flatlist__'!F$2:F1012,('__flatlist__'!$B$2:$B1012=$B5),('__flatlist__'!$C$2:$C1012=$C5)))"),4.7)</f>
        <v>4.7</v>
      </c>
      <c r="G5" s="8" t="n">
        <f aca="false">IFERROR(__xludf.dummyfunction("AVERAGE(FILTER('__flatlist__'!G$2:G1012,('__flatlist__'!$B$2:$B1012=$B5),('__flatlist__'!$C$2:$C1012=$C5)))"),2.8)</f>
        <v>2.8</v>
      </c>
      <c r="H5" s="8" t="n">
        <f aca="false">IFERROR(__xludf.dummyfunction("AVERAGE(FILTER('__flatlist__'!H$2:H1012,('__flatlist__'!$B$2:$B1012=$B5),('__flatlist__'!$C$2:$C1012=$C5)))"),2.6)</f>
        <v>2.6</v>
      </c>
      <c r="I5" s="8" t="n">
        <f aca="false">IFERROR(__xludf.dummyfunction("AVERAGE(FILTER('__flatlist__'!I$2:I1012,('__flatlist__'!$B$2:$B1012=$B5),('__flatlist__'!$C$2:$C1012=$C5)))"),4.9)</f>
        <v>4.9</v>
      </c>
      <c r="J5" s="8" t="n">
        <f aca="false">AVERAGE(E5:I5)</f>
        <v>3.62</v>
      </c>
      <c r="K5" s="9" t="n">
        <f aca="false">RANK(J5,$J$4:$J$23,FALSE())</f>
        <v>16</v>
      </c>
      <c r="M5" s="2" t="s">
        <v>14</v>
      </c>
      <c r="N5" s="10" t="n">
        <f aca="false">CORREL(__flatlist__!D:D,__flatlist__!H:H)</f>
        <v>-0.6098630939</v>
      </c>
      <c r="O5" s="10" t="n">
        <f aca="false">CORREL(__flatlist__!E:E,__flatlist__!H:H)</f>
        <v>0.2939038438</v>
      </c>
      <c r="P5" s="10" t="n">
        <f aca="false">CORREL(__flatlist__!F:F,__flatlist__!H:H)</f>
        <v>0.03812137324</v>
      </c>
      <c r="Q5" s="10" t="n">
        <f aca="false">CORREL(__flatlist__!G:G,__flatlist__!H:H)</f>
        <v>0.3410642555</v>
      </c>
      <c r="R5" s="10"/>
    </row>
    <row r="6" customFormat="false" ht="15.75" hidden="false" customHeight="false" outlineLevel="0" collapsed="false">
      <c r="A6" s="4"/>
      <c r="B6" s="4" t="s">
        <v>17</v>
      </c>
      <c r="C6" s="6" t="s">
        <v>19</v>
      </c>
      <c r="D6" s="7" t="n">
        <f aca="false">IFERROR(__xludf.dummyfunction("AVERAGE(FILTER('__flatlist__'!D$2:D1012,('__flatlist__'!$B$2:$B1012=$B6),('__flatlist__'!$C$2:$C1012=$C6)))"),0.0978548265301039)</f>
        <v>0.09785482653</v>
      </c>
      <c r="E6" s="8" t="n">
        <f aca="false">IFERROR(__xludf.dummyfunction("AVERAGE(FILTER('__flatlist__'!E$2:E1012,('__flatlist__'!$B$2:$B1012=$B6),('__flatlist__'!$C$2:$C1012=$C6)))"),3.3)</f>
        <v>3.3</v>
      </c>
      <c r="F6" s="8" t="n">
        <f aca="false">IFERROR(__xludf.dummyfunction("AVERAGE(FILTER('__flatlist__'!F$2:F1012,('__flatlist__'!$B$2:$B1012=$B6),('__flatlist__'!$C$2:$C1012=$C6)))"),4.1)</f>
        <v>4.1</v>
      </c>
      <c r="G6" s="8" t="n">
        <f aca="false">IFERROR(__xludf.dummyfunction("AVERAGE(FILTER('__flatlist__'!G$2:G1012,('__flatlist__'!$B$2:$B1012=$B6),('__flatlist__'!$C$2:$C1012=$C6)))"),4.2)</f>
        <v>4.2</v>
      </c>
      <c r="H6" s="8" t="n">
        <f aca="false">IFERROR(__xludf.dummyfunction("AVERAGE(FILTER('__flatlist__'!H$2:H1012,('__flatlist__'!$B$2:$B1012=$B6),('__flatlist__'!$C$2:$C1012=$C6)))"),3.1)</f>
        <v>3.1</v>
      </c>
      <c r="I6" s="8" t="n">
        <f aca="false">IFERROR(__xludf.dummyfunction("AVERAGE(FILTER('__flatlist__'!I$2:I1012,('__flatlist__'!$B$2:$B1012=$B6),('__flatlist__'!$C$2:$C1012=$C6)))"),4.4)</f>
        <v>4.4</v>
      </c>
      <c r="J6" s="8" t="n">
        <f aca="false">AVERAGE(E6:I6)</f>
        <v>3.82</v>
      </c>
      <c r="K6" s="9" t="n">
        <f aca="false">RANK(J6,$J$4:$J$23,FALSE())</f>
        <v>14</v>
      </c>
      <c r="M6" s="3" t="s">
        <v>8</v>
      </c>
      <c r="N6" s="10" t="n">
        <f aca="false">CORREL(__flatlist__!D:D,__flatlist__!I:I)</f>
        <v>0.3097122051</v>
      </c>
      <c r="O6" s="10" t="n">
        <f aca="false">CORREL(__flatlist__!E:E,__flatlist__!I:I)</f>
        <v>0.1727578121</v>
      </c>
      <c r="P6" s="10" t="n">
        <f aca="false">CORREL(__flatlist__!F:F,__flatlist__!I:I)</f>
        <v>0.0009601639311</v>
      </c>
      <c r="Q6" s="10" t="n">
        <f aca="false">CORREL(__flatlist__!G:G,__flatlist__!I:I)</f>
        <v>0.0700909468</v>
      </c>
      <c r="R6" s="10" t="n">
        <f aca="false">CORREL(__flatlist__!H:H,__flatlist__!I:I)</f>
        <v>-0.09896302322</v>
      </c>
    </row>
    <row r="7" customFormat="false" ht="15.75" hidden="false" customHeight="false" outlineLevel="0" collapsed="false">
      <c r="A7" s="4"/>
      <c r="B7" s="4" t="s">
        <v>17</v>
      </c>
      <c r="C7" s="6" t="s">
        <v>20</v>
      </c>
      <c r="D7" s="7" t="n">
        <f aca="false">IFERROR(__xludf.dummyfunction("AVERAGE(FILTER('__flatlist__'!D$2:D1012,('__flatlist__'!$B$2:$B1012=$B7),('__flatlist__'!$C$2:$C1012=$C7)))"),0.113719715763741)</f>
        <v>0.1137197158</v>
      </c>
      <c r="E7" s="8" t="n">
        <f aca="false">IFERROR(__xludf.dummyfunction("AVERAGE(FILTER('__flatlist__'!E$2:E1012,('__flatlist__'!$B$2:$B1012=$B7),('__flatlist__'!$C$2:$C1012=$C7)))"),3.1)</f>
        <v>3.1</v>
      </c>
      <c r="F7" s="8" t="n">
        <f aca="false">IFERROR(__xludf.dummyfunction("AVERAGE(FILTER('__flatlist__'!F$2:F1012,('__flatlist__'!$B$2:$B1012=$B7),('__flatlist__'!$C$2:$C1012=$C7)))"),4.7)</f>
        <v>4.7</v>
      </c>
      <c r="G7" s="8" t="n">
        <f aca="false">IFERROR(__xludf.dummyfunction("AVERAGE(FILTER('__flatlist__'!G$2:G1012,('__flatlist__'!$B$2:$B1012=$B7),('__flatlist__'!$C$2:$C1012=$C7)))"),3.4)</f>
        <v>3.4</v>
      </c>
      <c r="H7" s="8" t="n">
        <f aca="false">IFERROR(__xludf.dummyfunction("AVERAGE(FILTER('__flatlist__'!H$2:H1012,('__flatlist__'!$B$2:$B1012=$B7),('__flatlist__'!$C$2:$C1012=$C7)))"),3.4)</f>
        <v>3.4</v>
      </c>
      <c r="I7" s="8" t="n">
        <f aca="false">IFERROR(__xludf.dummyfunction("AVERAGE(FILTER('__flatlist__'!I$2:I1012,('__flatlist__'!$B$2:$B1012=$B7),('__flatlist__'!$C$2:$C1012=$C7)))"),4.6)</f>
        <v>4.6</v>
      </c>
      <c r="J7" s="8" t="n">
        <f aca="false">AVERAGE(E7:I7)</f>
        <v>3.84</v>
      </c>
      <c r="K7" s="9" t="n">
        <f aca="false">RANK(J7,$J$4:$J$23,FALSE())</f>
        <v>13</v>
      </c>
    </row>
    <row r="8" customFormat="false" ht="15.75" hidden="false" customHeight="false" outlineLevel="0" collapsed="false">
      <c r="A8" s="4"/>
      <c r="B8" s="4" t="s">
        <v>21</v>
      </c>
      <c r="C8" s="6" t="s">
        <v>8</v>
      </c>
      <c r="D8" s="7" t="n">
        <f aca="false">IFERROR(__xludf.dummyfunction("AVERAGE(FILTER('__flatlist__'!D$2:D1012,('__flatlist__'!$B$2:$B1012=$B8),('__flatlist__'!$C$2:$C1012=$C8)))"),0.121681239272263)</f>
        <v>0.1216812393</v>
      </c>
      <c r="E8" s="8" t="n">
        <f aca="false">IFERROR(__xludf.dummyfunction("AVERAGE(FILTER('__flatlist__'!E$2:E1012,('__flatlist__'!$B$2:$B1012=$B8),('__flatlist__'!$C$2:$C1012=$C8)))"),2.7)</f>
        <v>2.7</v>
      </c>
      <c r="F8" s="8" t="n">
        <f aca="false">IFERROR(__xludf.dummyfunction("AVERAGE(FILTER('__flatlist__'!F$2:F1012,('__flatlist__'!$B$2:$B1012=$B8),('__flatlist__'!$C$2:$C1012=$C8)))"),3.9)</f>
        <v>3.9</v>
      </c>
      <c r="G8" s="8" t="n">
        <f aca="false">IFERROR(__xludf.dummyfunction("AVERAGE(FILTER('__flatlist__'!G$2:G1012,('__flatlist__'!$B$2:$B1012=$B8),('__flatlist__'!$C$2:$C1012=$C8)))"),2.8)</f>
        <v>2.8</v>
      </c>
      <c r="H8" s="8" t="n">
        <f aca="false">IFERROR(__xludf.dummyfunction("AVERAGE(FILTER('__flatlist__'!H$2:H1012,('__flatlist__'!$B$2:$B1012=$B8),('__flatlist__'!$C$2:$C1012=$C8)))"),3.2)</f>
        <v>3.2</v>
      </c>
      <c r="I8" s="8" t="n">
        <f aca="false">IFERROR(__xludf.dummyfunction("AVERAGE(FILTER('__flatlist__'!I$2:I1012,('__flatlist__'!$B$2:$B1012=$B8),('__flatlist__'!$C$2:$C1012=$C8)))"),4)</f>
        <v>4</v>
      </c>
      <c r="J8" s="8" t="n">
        <f aca="false">AVERAGE(E8:I8)</f>
        <v>3.32</v>
      </c>
      <c r="K8" s="9" t="n">
        <f aca="false">RANK(J8,$J$4:$J$23,FALSE())</f>
        <v>18</v>
      </c>
    </row>
    <row r="9" customFormat="false" ht="15.75" hidden="false" customHeight="false" outlineLevel="0" collapsed="false">
      <c r="A9" s="4"/>
      <c r="B9" s="4" t="s">
        <v>21</v>
      </c>
      <c r="C9" s="6" t="s">
        <v>18</v>
      </c>
      <c r="D9" s="7" t="n">
        <f aca="false">IFERROR(__xludf.dummyfunction("AVERAGE(FILTER('__flatlist__'!D$2:D1012,('__flatlist__'!$B$2:$B1012=$B9),('__flatlist__'!$C$2:$C1012=$C9)))"),0.214902099234231)</f>
        <v>0.2149020992</v>
      </c>
      <c r="E9" s="8" t="n">
        <f aca="false">IFERROR(__xludf.dummyfunction("AVERAGE(FILTER('__flatlist__'!E$2:E1012,('__flatlist__'!$B$2:$B1012=$B9),('__flatlist__'!$C$2:$C1012=$C9)))"),3.8)</f>
        <v>3.8</v>
      </c>
      <c r="F9" s="8" t="n">
        <f aca="false">IFERROR(__xludf.dummyfunction("AVERAGE(FILTER('__flatlist__'!F$2:F1012,('__flatlist__'!$B$2:$B1012=$B9),('__flatlist__'!$C$2:$C1012=$C9)))"),3.5)</f>
        <v>3.5</v>
      </c>
      <c r="G9" s="8" t="n">
        <f aca="false">IFERROR(__xludf.dummyfunction("AVERAGE(FILTER('__flatlist__'!G$2:G1012,('__flatlist__'!$B$2:$B1012=$B9),('__flatlist__'!$C$2:$C1012=$C9)))"),2)</f>
        <v>2</v>
      </c>
      <c r="H9" s="8" t="n">
        <f aca="false">IFERROR(__xludf.dummyfunction("AVERAGE(FILTER('__flatlist__'!H$2:H1012,('__flatlist__'!$B$2:$B1012=$B9),('__flatlist__'!$C$2:$C1012=$C9)))"),2.5)</f>
        <v>2.5</v>
      </c>
      <c r="I9" s="8" t="n">
        <f aca="false">IFERROR(__xludf.dummyfunction("AVERAGE(FILTER('__flatlist__'!I$2:I1012,('__flatlist__'!$B$2:$B1012=$B9),('__flatlist__'!$C$2:$C1012=$C9)))"),3.9)</f>
        <v>3.9</v>
      </c>
      <c r="J9" s="8" t="n">
        <f aca="false">AVERAGE(E9:I9)</f>
        <v>3.14</v>
      </c>
      <c r="K9" s="9" t="n">
        <f aca="false">RANK(J9,$J$4:$J$23,FALSE())</f>
        <v>19</v>
      </c>
    </row>
    <row r="10" customFormat="false" ht="15.75" hidden="false" customHeight="false" outlineLevel="0" collapsed="false">
      <c r="A10" s="4"/>
      <c r="B10" s="4" t="s">
        <v>21</v>
      </c>
      <c r="C10" s="6" t="s">
        <v>19</v>
      </c>
      <c r="D10" s="7" t="n">
        <f aca="false">IFERROR(__xludf.dummyfunction("AVERAGE(FILTER('__flatlist__'!D$2:D1012,('__flatlist__'!$B$2:$B1012=$B10),('__flatlist__'!$C$2:$C1012=$C10)))"),0.135389876948174)</f>
        <v>0.1353898769</v>
      </c>
      <c r="E10" s="8" t="n">
        <f aca="false">IFERROR(__xludf.dummyfunction("AVERAGE(FILTER('__flatlist__'!E$2:E1012,('__flatlist__'!$B$2:$B1012=$B10),('__flatlist__'!$C$2:$C1012=$C10)))"),2.4)</f>
        <v>2.4</v>
      </c>
      <c r="F10" s="8" t="n">
        <f aca="false">IFERROR(__xludf.dummyfunction("AVERAGE(FILTER('__flatlist__'!F$2:F1012,('__flatlist__'!$B$2:$B1012=$B10),('__flatlist__'!$C$2:$C1012=$C10)))"),4.4)</f>
        <v>4.4</v>
      </c>
      <c r="G10" s="8" t="n">
        <f aca="false">IFERROR(__xludf.dummyfunction("AVERAGE(FILTER('__flatlist__'!G$2:G1012,('__flatlist__'!$B$2:$B1012=$B10),('__flatlist__'!$C$2:$C1012=$C10)))"),2.4)</f>
        <v>2.4</v>
      </c>
      <c r="H10" s="8" t="n">
        <f aca="false">IFERROR(__xludf.dummyfunction("AVERAGE(FILTER('__flatlist__'!H$2:H1012,('__flatlist__'!$B$2:$B1012=$B10),('__flatlist__'!$C$2:$C1012=$C10)))"),2.6)</f>
        <v>2.6</v>
      </c>
      <c r="I10" s="8" t="n">
        <f aca="false">IFERROR(__xludf.dummyfunction("AVERAGE(FILTER('__flatlist__'!I$2:I1012,('__flatlist__'!$B$2:$B1012=$B10),('__flatlist__'!$C$2:$C1012=$C10)))"),2.8)</f>
        <v>2.8</v>
      </c>
      <c r="J10" s="8" t="n">
        <f aca="false">AVERAGE(E10:I10)</f>
        <v>2.92</v>
      </c>
      <c r="K10" s="9" t="n">
        <f aca="false">RANK(J10,$J$4:$J$23,FALSE())</f>
        <v>20</v>
      </c>
    </row>
    <row r="11" customFormat="false" ht="15.75" hidden="false" customHeight="false" outlineLevel="0" collapsed="false">
      <c r="A11" s="4"/>
      <c r="B11" s="4" t="s">
        <v>21</v>
      </c>
      <c r="C11" s="6" t="s">
        <v>20</v>
      </c>
      <c r="D11" s="7" t="n">
        <f aca="false">IFERROR(__xludf.dummyfunction("AVERAGE(FILTER('__flatlist__'!D$2:D1012,('__flatlist__'!$B$2:$B1012=$B11),('__flatlist__'!$C$2:$C1012=$C11)))"),0.128118311961711)</f>
        <v>0.128118312</v>
      </c>
      <c r="E11" s="8" t="n">
        <f aca="false">IFERROR(__xludf.dummyfunction("AVERAGE(FILTER('__flatlist__'!E$2:E1012,('__flatlist__'!$B$2:$B1012=$B11),('__flatlist__'!$C$2:$C1012=$C11)))"),3.8)</f>
        <v>3.8</v>
      </c>
      <c r="F11" s="8" t="n">
        <f aca="false">IFERROR(__xludf.dummyfunction("AVERAGE(FILTER('__flatlist__'!F$2:F1012,('__flatlist__'!$B$2:$B1012=$B11),('__flatlist__'!$C$2:$C1012=$C11)))"),4.3)</f>
        <v>4.3</v>
      </c>
      <c r="G11" s="8" t="n">
        <f aca="false">IFERROR(__xludf.dummyfunction("AVERAGE(FILTER('__flatlist__'!G$2:G1012,('__flatlist__'!$B$2:$B1012=$B11),('__flatlist__'!$C$2:$C1012=$C11)))"),1.7)</f>
        <v>1.7</v>
      </c>
      <c r="H11" s="8" t="n">
        <f aca="false">IFERROR(__xludf.dummyfunction("AVERAGE(FILTER('__flatlist__'!H$2:H1012,('__flatlist__'!$B$2:$B1012=$B11),('__flatlist__'!$C$2:$C1012=$C11)))"),3.4)</f>
        <v>3.4</v>
      </c>
      <c r="I11" s="8" t="n">
        <f aca="false">IFERROR(__xludf.dummyfunction("AVERAGE(FILTER('__flatlist__'!I$2:I1012,('__flatlist__'!$B$2:$B1012=$B11),('__flatlist__'!$C$2:$C1012=$C11)))"),3.7)</f>
        <v>3.7</v>
      </c>
      <c r="J11" s="8" t="n">
        <f aca="false">AVERAGE(E11:I11)</f>
        <v>3.38</v>
      </c>
      <c r="K11" s="9" t="n">
        <f aca="false">RANK(J11,$J$4:$J$23,FALSE())</f>
        <v>17</v>
      </c>
    </row>
    <row r="12" customFormat="false" ht="15.75" hidden="false" customHeight="false" outlineLevel="0" collapsed="false">
      <c r="A12" s="4"/>
      <c r="B12" s="4" t="s">
        <v>22</v>
      </c>
      <c r="C12" s="6" t="s">
        <v>8</v>
      </c>
      <c r="D12" s="7" t="n">
        <f aca="false">IFERROR(__xludf.dummyfunction("AVERAGE(FILTER('__flatlist__'!D$2:D1012,('__flatlist__'!$B$2:$B1012=$B12),('__flatlist__'!$C$2:$C1012=$C12)))"),0.167712580641439)</f>
        <v>0.1677125806</v>
      </c>
      <c r="E12" s="8" t="n">
        <f aca="false">IFERROR(__xludf.dummyfunction("AVERAGE(FILTER('__flatlist__'!E$2:E1012,('__flatlist__'!$B$2:$B1012=$B12),('__flatlist__'!$C$2:$C1012=$C12)))"),2.9)</f>
        <v>2.9</v>
      </c>
      <c r="F12" s="8" t="n">
        <f aca="false">IFERROR(__xludf.dummyfunction("AVERAGE(FILTER('__flatlist__'!F$2:F1012,('__flatlist__'!$B$2:$B1012=$B12),('__flatlist__'!$C$2:$C1012=$C12)))"),4.4)</f>
        <v>4.4</v>
      </c>
      <c r="G12" s="8" t="n">
        <f aca="false">IFERROR(__xludf.dummyfunction("AVERAGE(FILTER('__flatlist__'!G$2:G1012,('__flatlist__'!$B$2:$B1012=$B12),('__flatlist__'!$C$2:$C1012=$C12)))"),4.7)</f>
        <v>4.7</v>
      </c>
      <c r="H12" s="8" t="n">
        <f aca="false">IFERROR(__xludf.dummyfunction("AVERAGE(FILTER('__flatlist__'!H$2:H1012,('__flatlist__'!$B$2:$B1012=$B12),('__flatlist__'!$C$2:$C1012=$C12)))"),3.5)</f>
        <v>3.5</v>
      </c>
      <c r="I12" s="8" t="n">
        <f aca="false">IFERROR(__xludf.dummyfunction("AVERAGE(FILTER('__flatlist__'!I$2:I1012,('__flatlist__'!$B$2:$B1012=$B12),('__flatlist__'!$C$2:$C1012=$C12)))"),4.9)</f>
        <v>4.9</v>
      </c>
      <c r="J12" s="8" t="n">
        <f aca="false">AVERAGE(E12:I12)</f>
        <v>4.08</v>
      </c>
      <c r="K12" s="9" t="n">
        <f aca="false">RANK(J12,$J$4:$J$23,FALSE())</f>
        <v>8</v>
      </c>
      <c r="M12" s="2"/>
      <c r="N12" s="10"/>
      <c r="O12" s="10"/>
      <c r="P12" s="10"/>
      <c r="Q12" s="10"/>
      <c r="R12" s="10"/>
    </row>
    <row r="13" customFormat="false" ht="15.75" hidden="false" customHeight="false" outlineLevel="0" collapsed="false">
      <c r="A13" s="4"/>
      <c r="B13" s="4" t="s">
        <v>22</v>
      </c>
      <c r="C13" s="6" t="s">
        <v>18</v>
      </c>
      <c r="D13" s="7" t="n">
        <f aca="false">IFERROR(__xludf.dummyfunction("AVERAGE(FILTER('__flatlist__'!D$2:D1012,('__flatlist__'!$B$2:$B1012=$B13),('__flatlist__'!$C$2:$C1012=$C13)))"),0.169282606547238)</f>
        <v>0.1692826065</v>
      </c>
      <c r="E13" s="8" t="n">
        <f aca="false">IFERROR(__xludf.dummyfunction("AVERAGE(FILTER('__flatlist__'!E$2:E1012,('__flatlist__'!$B$2:$B1012=$B13),('__flatlist__'!$C$2:$C1012=$C13)))"),4.7)</f>
        <v>4.7</v>
      </c>
      <c r="F13" s="8" t="n">
        <f aca="false">IFERROR(__xludf.dummyfunction("AVERAGE(FILTER('__flatlist__'!F$2:F1012,('__flatlist__'!$B$2:$B1012=$B13),('__flatlist__'!$C$2:$C1012=$C13)))"),4.8)</f>
        <v>4.8</v>
      </c>
      <c r="G13" s="8" t="n">
        <f aca="false">IFERROR(__xludf.dummyfunction("AVERAGE(FILTER('__flatlist__'!G$2:G1012,('__flatlist__'!$B$2:$B1012=$B13),('__flatlist__'!$C$2:$C1012=$C13)))"),4.7)</f>
        <v>4.7</v>
      </c>
      <c r="H13" s="8" t="n">
        <f aca="false">IFERROR(__xludf.dummyfunction("AVERAGE(FILTER('__flatlist__'!H$2:H1012,('__flatlist__'!$B$2:$B1012=$B13),('__flatlist__'!$C$2:$C1012=$C13)))"),2.9)</f>
        <v>2.9</v>
      </c>
      <c r="I13" s="8" t="n">
        <f aca="false">IFERROR(__xludf.dummyfunction("AVERAGE(FILTER('__flatlist__'!I$2:I1012,('__flatlist__'!$B$2:$B1012=$B13),('__flatlist__'!$C$2:$C1012=$C13)))"),4.9)</f>
        <v>4.9</v>
      </c>
      <c r="J13" s="8" t="n">
        <f aca="false">AVERAGE(E13:I13)</f>
        <v>4.4</v>
      </c>
      <c r="K13" s="9" t="n">
        <f aca="false">RANK(J13,$J$4:$J$23,FALSE())</f>
        <v>3</v>
      </c>
      <c r="M13" s="2"/>
      <c r="N13" s="10"/>
    </row>
    <row r="14" customFormat="false" ht="15.75" hidden="false" customHeight="false" outlineLevel="0" collapsed="false">
      <c r="A14" s="4"/>
      <c r="B14" s="4" t="s">
        <v>22</v>
      </c>
      <c r="C14" s="6" t="s">
        <v>19</v>
      </c>
      <c r="D14" s="7" t="n">
        <f aca="false">IFERROR(__xludf.dummyfunction("AVERAGE(FILTER('__flatlist__'!D$2:D1012,('__flatlist__'!$B$2:$B1012=$B14),('__flatlist__'!$C$2:$C1012=$C14)))"),0.0754281745521048)</f>
        <v>0.07542817455</v>
      </c>
      <c r="E14" s="8" t="n">
        <f aca="false">IFERROR(__xludf.dummyfunction("AVERAGE(FILTER('__flatlist__'!E$2:E1012,('__flatlist__'!$B$2:$B1012=$B14),('__flatlist__'!$C$2:$C1012=$C14)))"),4.5)</f>
        <v>4.5</v>
      </c>
      <c r="F14" s="8" t="n">
        <f aca="false">IFERROR(__xludf.dummyfunction("AVERAGE(FILTER('__flatlist__'!F$2:F1012,('__flatlist__'!$B$2:$B1012=$B14),('__flatlist__'!$C$2:$C1012=$C14)))"),4.3)</f>
        <v>4.3</v>
      </c>
      <c r="G14" s="8" t="n">
        <f aca="false">IFERROR(__xludf.dummyfunction("AVERAGE(FILTER('__flatlist__'!G$2:G1012,('__flatlist__'!$B$2:$B1012=$B14),('__flatlist__'!$C$2:$C1012=$C14)))"),4.8)</f>
        <v>4.8</v>
      </c>
      <c r="H14" s="8" t="n">
        <f aca="false">IFERROR(__xludf.dummyfunction("AVERAGE(FILTER('__flatlist__'!H$2:H1012,('__flatlist__'!$B$2:$B1012=$B14),('__flatlist__'!$C$2:$C1012=$C14)))"),4)</f>
        <v>4</v>
      </c>
      <c r="I14" s="8" t="n">
        <f aca="false">IFERROR(__xludf.dummyfunction("AVERAGE(FILTER('__flatlist__'!I$2:I1012,('__flatlist__'!$B$2:$B1012=$B14),('__flatlist__'!$C$2:$C1012=$C14)))"),4.5)</f>
        <v>4.5</v>
      </c>
      <c r="J14" s="8" t="n">
        <f aca="false">AVERAGE(E14:I14)</f>
        <v>4.42</v>
      </c>
      <c r="K14" s="9" t="n">
        <f aca="false">RANK(J14,$J$4:$J$23,FALSE())</f>
        <v>2</v>
      </c>
      <c r="M14" s="2"/>
      <c r="N14" s="10"/>
    </row>
    <row r="15" customFormat="false" ht="15.75" hidden="false" customHeight="false" outlineLevel="0" collapsed="false">
      <c r="A15" s="4"/>
      <c r="B15" s="4" t="s">
        <v>22</v>
      </c>
      <c r="C15" s="6" t="s">
        <v>20</v>
      </c>
      <c r="D15" s="7" t="n">
        <f aca="false">IFERROR(__xludf.dummyfunction("AVERAGE(FILTER('__flatlist__'!D$2:D1012,('__flatlist__'!$B$2:$B1012=$B15),('__flatlist__'!$C$2:$C1012=$C15)))"),0.0740550449929976)</f>
        <v>0.07405504499</v>
      </c>
      <c r="E15" s="8" t="n">
        <f aca="false">IFERROR(__xludf.dummyfunction("AVERAGE(FILTER('__flatlist__'!E$2:E1012,('__flatlist__'!$B$2:$B1012=$B15),('__flatlist__'!$C$2:$C1012=$C15)))"),4.2)</f>
        <v>4.2</v>
      </c>
      <c r="F15" s="8" t="n">
        <f aca="false">IFERROR(__xludf.dummyfunction("AVERAGE(FILTER('__flatlist__'!F$2:F1012,('__flatlist__'!$B$2:$B1012=$B15),('__flatlist__'!$C$2:$C1012=$C15)))"),4.5)</f>
        <v>4.5</v>
      </c>
      <c r="G15" s="8" t="n">
        <f aca="false">IFERROR(__xludf.dummyfunction("AVERAGE(FILTER('__flatlist__'!G$2:G1012,('__flatlist__'!$B$2:$B1012=$B15),('__flatlist__'!$C$2:$C1012=$C15)))"),4.4)</f>
        <v>4.4</v>
      </c>
      <c r="H15" s="8" t="n">
        <f aca="false">IFERROR(__xludf.dummyfunction("AVERAGE(FILTER('__flatlist__'!H$2:H1012,('__flatlist__'!$B$2:$B1012=$B15),('__flatlist__'!$C$2:$C1012=$C15)))"),4.6)</f>
        <v>4.6</v>
      </c>
      <c r="I15" s="8" t="n">
        <f aca="false">IFERROR(__xludf.dummyfunction("AVERAGE(FILTER('__flatlist__'!I$2:I1012,('__flatlist__'!$B$2:$B1012=$B15),('__flatlist__'!$C$2:$C1012=$C15)))"),4.7)</f>
        <v>4.7</v>
      </c>
      <c r="J15" s="8" t="n">
        <f aca="false">AVERAGE(E15:I15)</f>
        <v>4.48</v>
      </c>
      <c r="K15" s="9" t="n">
        <f aca="false">RANK(J15,$J$4:$J$23,FALSE())</f>
        <v>1</v>
      </c>
      <c r="M15" s="2"/>
      <c r="N15" s="10"/>
    </row>
    <row r="16" customFormat="false" ht="15.75" hidden="false" customHeight="false" outlineLevel="0" collapsed="false">
      <c r="A16" s="4"/>
      <c r="B16" s="4" t="s">
        <v>23</v>
      </c>
      <c r="C16" s="6" t="s">
        <v>8</v>
      </c>
      <c r="D16" s="7" t="n">
        <f aca="false">IFERROR(__xludf.dummyfunction("AVERAGE(FILTER('__flatlist__'!D$2:D1012,('__flatlist__'!$B$2:$B1012=$B16),('__flatlist__'!$C$2:$C1012=$C16)))"),0.0929996701370113)</f>
        <v>0.09299967014</v>
      </c>
      <c r="E16" s="8" t="n">
        <f aca="false">IFERROR(__xludf.dummyfunction("AVERAGE(FILTER('__flatlist__'!E$2:E1012,('__flatlist__'!$B$2:$B1012=$B16),('__flatlist__'!$C$2:$C1012=$C16)))"),2.9)</f>
        <v>2.9</v>
      </c>
      <c r="F16" s="8" t="n">
        <f aca="false">IFERROR(__xludf.dummyfunction("AVERAGE(FILTER('__flatlist__'!F$2:F1012,('__flatlist__'!$B$2:$B1012=$B16),('__flatlist__'!$C$2:$C1012=$C16)))"),4.6)</f>
        <v>4.6</v>
      </c>
      <c r="G16" s="8" t="n">
        <f aca="false">IFERROR(__xludf.dummyfunction("AVERAGE(FILTER('__flatlist__'!G$2:G1012,('__flatlist__'!$B$2:$B1012=$B16),('__flatlist__'!$C$2:$C1012=$C16)))"),3.9)</f>
        <v>3.9</v>
      </c>
      <c r="H16" s="8" t="n">
        <f aca="false">IFERROR(__xludf.dummyfunction("AVERAGE(FILTER('__flatlist__'!H$2:H1012,('__flatlist__'!$B$2:$B1012=$B16),('__flatlist__'!$C$2:$C1012=$C16)))"),3.8)</f>
        <v>3.8</v>
      </c>
      <c r="I16" s="8" t="n">
        <f aca="false">IFERROR(__xludf.dummyfunction("AVERAGE(FILTER('__flatlist__'!I$2:I1012,('__flatlist__'!$B$2:$B1012=$B16),('__flatlist__'!$C$2:$C1012=$C16)))"),4.8)</f>
        <v>4.8</v>
      </c>
      <c r="J16" s="8" t="n">
        <f aca="false">AVERAGE(E16:I16)</f>
        <v>4</v>
      </c>
      <c r="K16" s="9" t="n">
        <f aca="false">RANK(J16,$J$4:$J$23,FALSE())</f>
        <v>10</v>
      </c>
      <c r="M16" s="2"/>
      <c r="N16" s="10"/>
    </row>
    <row r="17" customFormat="false" ht="15.75" hidden="false" customHeight="false" outlineLevel="0" collapsed="false">
      <c r="A17" s="4"/>
      <c r="B17" s="4" t="s">
        <v>23</v>
      </c>
      <c r="C17" s="6" t="s">
        <v>18</v>
      </c>
      <c r="D17" s="7" t="n">
        <f aca="false">IFERROR(__xludf.dummyfunction("AVERAGE(FILTER('__flatlist__'!D$2:D1012,('__flatlist__'!$B$2:$B1012=$B17),('__flatlist__'!$C$2:$C1012=$C17)))"),0.0806920207172976)</f>
        <v>0.08069202072</v>
      </c>
      <c r="E17" s="8" t="n">
        <f aca="false">IFERROR(__xludf.dummyfunction("AVERAGE(FILTER('__flatlist__'!E$2:E1012,('__flatlist__'!$B$2:$B1012=$B17),('__flatlist__'!$C$2:$C1012=$C17)))"),4.2)</f>
        <v>4.2</v>
      </c>
      <c r="F17" s="8" t="n">
        <f aca="false">IFERROR(__xludf.dummyfunction("AVERAGE(FILTER('__flatlist__'!F$2:F1012,('__flatlist__'!$B$2:$B1012=$B17),('__flatlist__'!$C$2:$C1012=$C17)))"),4.4)</f>
        <v>4.4</v>
      </c>
      <c r="G17" s="8" t="n">
        <f aca="false">IFERROR(__xludf.dummyfunction("AVERAGE(FILTER('__flatlist__'!G$2:G1012,('__flatlist__'!$B$2:$B1012=$B17),('__flatlist__'!$C$2:$C1012=$C17)))"),3.9)</f>
        <v>3.9</v>
      </c>
      <c r="H17" s="8" t="n">
        <f aca="false">IFERROR(__xludf.dummyfunction("AVERAGE(FILTER('__flatlist__'!H$2:H1012,('__flatlist__'!$B$2:$B1012=$B17),('__flatlist__'!$C$2:$C1012=$C17)))"),4.4)</f>
        <v>4.4</v>
      </c>
      <c r="I17" s="8" t="n">
        <f aca="false">IFERROR(__xludf.dummyfunction("AVERAGE(FILTER('__flatlist__'!I$2:I1012,('__flatlist__'!$B$2:$B1012=$B17),('__flatlist__'!$C$2:$C1012=$C17)))"),4.4)</f>
        <v>4.4</v>
      </c>
      <c r="J17" s="8" t="n">
        <f aca="false">AVERAGE(E17:I17)</f>
        <v>4.26</v>
      </c>
      <c r="K17" s="9" t="n">
        <f aca="false">RANK(J17,$J$4:$J$23,FALSE())</f>
        <v>5</v>
      </c>
      <c r="M17" s="2"/>
      <c r="N17" s="10"/>
    </row>
    <row r="18" customFormat="false" ht="15.75" hidden="false" customHeight="false" outlineLevel="0" collapsed="false">
      <c r="A18" s="4"/>
      <c r="B18" s="4" t="s">
        <v>23</v>
      </c>
      <c r="C18" s="6" t="s">
        <v>19</v>
      </c>
      <c r="D18" s="7" t="n">
        <f aca="false">IFERROR(__xludf.dummyfunction("AVERAGE(FILTER('__flatlist__'!D$2:D1012,('__flatlist__'!$B$2:$B1012=$B18),('__flatlist__'!$C$2:$C1012=$C18)))"),0.0868543920911068)</f>
        <v>0.08685439209</v>
      </c>
      <c r="E18" s="8" t="n">
        <f aca="false">IFERROR(__xludf.dummyfunction("AVERAGE(FILTER('__flatlist__'!E$2:E1012,('__flatlist__'!$B$2:$B1012=$B18),('__flatlist__'!$C$2:$C1012=$C18)))"),3.6)</f>
        <v>3.6</v>
      </c>
      <c r="F18" s="8" t="n">
        <f aca="false">IFERROR(__xludf.dummyfunction("AVERAGE(FILTER('__flatlist__'!F$2:F1012,('__flatlist__'!$B$2:$B1012=$B18),('__flatlist__'!$C$2:$C1012=$C18)))"),4)</f>
        <v>4</v>
      </c>
      <c r="G18" s="8" t="n">
        <f aca="false">IFERROR(__xludf.dummyfunction("AVERAGE(FILTER('__flatlist__'!G$2:G1012,('__flatlist__'!$B$2:$B1012=$B18),('__flatlist__'!$C$2:$C1012=$C18)))"),4.2)</f>
        <v>4.2</v>
      </c>
      <c r="H18" s="8" t="n">
        <f aca="false">IFERROR(__xludf.dummyfunction("AVERAGE(FILTER('__flatlist__'!H$2:H1012,('__flatlist__'!$B$2:$B1012=$B18),('__flatlist__'!$C$2:$C1012=$C18)))"),3.7)</f>
        <v>3.7</v>
      </c>
      <c r="I18" s="8" t="n">
        <f aca="false">IFERROR(__xludf.dummyfunction("AVERAGE(FILTER('__flatlist__'!I$2:I1012,('__flatlist__'!$B$2:$B1012=$B18),('__flatlist__'!$C$2:$C1012=$C18)))"),4.3)</f>
        <v>4.3</v>
      </c>
      <c r="J18" s="8" t="n">
        <f aca="false">AVERAGE(E18:I18)</f>
        <v>3.96</v>
      </c>
      <c r="K18" s="9" t="n">
        <f aca="false">RANK(J18,$J$4:$J$23,FALSE())</f>
        <v>11</v>
      </c>
      <c r="M18" s="2"/>
      <c r="N18" s="10"/>
    </row>
    <row r="19" customFormat="false" ht="15.75" hidden="false" customHeight="false" outlineLevel="0" collapsed="false">
      <c r="A19" s="4"/>
      <c r="B19" s="4" t="s">
        <v>23</v>
      </c>
      <c r="C19" s="6" t="s">
        <v>20</v>
      </c>
      <c r="D19" s="7" t="n">
        <f aca="false">IFERROR(__xludf.dummyfunction("AVERAGE(FILTER('__flatlist__'!D$2:D1012,('__flatlist__'!$B$2:$B1012=$B19),('__flatlist__'!$C$2:$C1012=$C19)))"),0.0728849008724429)</f>
        <v>0.07288490087</v>
      </c>
      <c r="E19" s="8" t="n">
        <f aca="false">IFERROR(__xludf.dummyfunction("AVERAGE(FILTER('__flatlist__'!E$2:E1012,('__flatlist__'!$B$2:$B1012=$B19),('__flatlist__'!$C$2:$C1012=$C19)))"),4.2)</f>
        <v>4.2</v>
      </c>
      <c r="F19" s="8" t="n">
        <f aca="false">IFERROR(__xludf.dummyfunction("AVERAGE(FILTER('__flatlist__'!F$2:F1012,('__flatlist__'!$B$2:$B1012=$B19),('__flatlist__'!$C$2:$C1012=$C19)))"),4.4)</f>
        <v>4.4</v>
      </c>
      <c r="G19" s="8" t="n">
        <f aca="false">IFERROR(__xludf.dummyfunction("AVERAGE(FILTER('__flatlist__'!G$2:G1012,('__flatlist__'!$B$2:$B1012=$B19),('__flatlist__'!$C$2:$C1012=$C19)))"),3.6)</f>
        <v>3.6</v>
      </c>
      <c r="H19" s="8" t="n">
        <f aca="false">IFERROR(__xludf.dummyfunction("AVERAGE(FILTER('__flatlist__'!H$2:H1012,('__flatlist__'!$B$2:$B1012=$B19),('__flatlist__'!$C$2:$C1012=$C19)))"),4.7)</f>
        <v>4.7</v>
      </c>
      <c r="I19" s="8" t="n">
        <f aca="false">IFERROR(__xludf.dummyfunction("AVERAGE(FILTER('__flatlist__'!I$2:I1012,('__flatlist__'!$B$2:$B1012=$B19),('__flatlist__'!$C$2:$C1012=$C19)))"),4.1)</f>
        <v>4.1</v>
      </c>
      <c r="J19" s="8" t="n">
        <f aca="false">AVERAGE(E19:I19)</f>
        <v>4.2</v>
      </c>
      <c r="K19" s="9" t="n">
        <f aca="false">RANK(J19,$J$4:$J$23,FALSE())</f>
        <v>7</v>
      </c>
      <c r="M19" s="2"/>
      <c r="N19" s="10"/>
    </row>
    <row r="20" customFormat="false" ht="15.75" hidden="false" customHeight="false" outlineLevel="0" collapsed="false">
      <c r="A20" s="4"/>
      <c r="B20" s="9" t="s">
        <v>24</v>
      </c>
      <c r="C20" s="6" t="s">
        <v>18</v>
      </c>
      <c r="D20" s="7" t="n">
        <f aca="false">IFERROR(__xludf.dummyfunction("AVERAGE(FILTER('__flatlist__'!D$2:D1012,('__flatlist__'!$B$2:$B1012=$B20),('__flatlist__'!$C$2:$C1012=$C20)))"),0.0527272475802987)</f>
        <v>0.05272724758</v>
      </c>
      <c r="E20" s="8" t="n">
        <f aca="false">IFERROR(__xludf.dummyfunction("AVERAGE(FILTER('__flatlist__'!E$2:E1012,('__flatlist__'!$B$2:$B1012=$B20),('__flatlist__'!$C$2:$C1012=$C20)))"),4.1)</f>
        <v>4.1</v>
      </c>
      <c r="F20" s="8" t="n">
        <f aca="false">IFERROR(__xludf.dummyfunction("AVERAGE(FILTER('__flatlist__'!F$2:F1012,('__flatlist__'!$B$2:$B1012=$B20),('__flatlist__'!$C$2:$C1012=$C20)))"),4.7)</f>
        <v>4.7</v>
      </c>
      <c r="G20" s="8" t="n">
        <f aca="false">IFERROR(__xludf.dummyfunction("AVERAGE(FILTER('__flatlist__'!G$2:G1012,('__flatlist__'!$B$2:$B1012=$B20),('__flatlist__'!$C$2:$C1012=$C20)))"),4.3)</f>
        <v>4.3</v>
      </c>
      <c r="H20" s="8" t="n">
        <f aca="false">IFERROR(__xludf.dummyfunction("AVERAGE(FILTER('__flatlist__'!H$2:H1012,('__flatlist__'!$B$2:$B1012=$B20),('__flatlist__'!$C$2:$C1012=$C20)))"),4.8)</f>
        <v>4.8</v>
      </c>
      <c r="I20" s="8" t="n">
        <f aca="false">IFERROR(__xludf.dummyfunction("AVERAGE(FILTER('__flatlist__'!I$2:I1012,('__flatlist__'!$B$2:$B1012=$B20),('__flatlist__'!$C$2:$C1012=$C20)))"),3.5)</f>
        <v>3.5</v>
      </c>
      <c r="J20" s="8" t="n">
        <f aca="false">AVERAGE(E20:I20)</f>
        <v>4.28</v>
      </c>
      <c r="K20" s="9" t="n">
        <f aca="false">RANK(J20,$J$4:$J$23,FALSE())</f>
        <v>4</v>
      </c>
      <c r="M20" s="2"/>
      <c r="N20" s="10"/>
    </row>
    <row r="21" customFormat="false" ht="15.75" hidden="false" customHeight="false" outlineLevel="0" collapsed="false">
      <c r="A21" s="4"/>
      <c r="B21" s="9" t="s">
        <v>24</v>
      </c>
      <c r="C21" s="6" t="s">
        <v>19</v>
      </c>
      <c r="D21" s="7" t="n">
        <f aca="false">IFERROR(__xludf.dummyfunction("AVERAGE(FILTER('__flatlist__'!D$2:D1012,('__flatlist__'!$B$2:$B1012=$B21),('__flatlist__'!$C$2:$C1012=$C21)))"),0.0567011277370066)</f>
        <v>0.05670112774</v>
      </c>
      <c r="E21" s="8" t="n">
        <f aca="false">IFERROR(__xludf.dummyfunction("AVERAGE(FILTER('__flatlist__'!E$2:E1012,('__flatlist__'!$B$2:$B1012=$B21),('__flatlist__'!$C$2:$C1012=$C21)))"),3.5)</f>
        <v>3.5</v>
      </c>
      <c r="F21" s="8" t="n">
        <f aca="false">IFERROR(__xludf.dummyfunction("AVERAGE(FILTER('__flatlist__'!F$2:F1012,('__flatlist__'!$B$2:$B1012=$B21),('__flatlist__'!$C$2:$C1012=$C21)))"),4.6)</f>
        <v>4.6</v>
      </c>
      <c r="G21" s="8" t="n">
        <f aca="false">IFERROR(__xludf.dummyfunction("AVERAGE(FILTER('__flatlist__'!G$2:G1012,('__flatlist__'!$B$2:$B1012=$B21),('__flatlist__'!$C$2:$C1012=$C21)))"),4.1)</f>
        <v>4.1</v>
      </c>
      <c r="H21" s="8" t="n">
        <f aca="false">IFERROR(__xludf.dummyfunction("AVERAGE(FILTER('__flatlist__'!H$2:H1012,('__flatlist__'!$B$2:$B1012=$B21),('__flatlist__'!$C$2:$C1012=$C21)))"),3.7)</f>
        <v>3.7</v>
      </c>
      <c r="I21" s="8" t="n">
        <f aca="false">IFERROR(__xludf.dummyfunction("AVERAGE(FILTER('__flatlist__'!I$2:I1012,('__flatlist__'!$B$2:$B1012=$B21),('__flatlist__'!$C$2:$C1012=$C21)))"),3)</f>
        <v>3</v>
      </c>
      <c r="J21" s="8" t="n">
        <f aca="false">AVERAGE(E21:I21)</f>
        <v>3.78</v>
      </c>
      <c r="K21" s="9" t="n">
        <f aca="false">RANK(J21,$J$4:$J$23,FALSE())</f>
        <v>15</v>
      </c>
      <c r="M21" s="2"/>
      <c r="N21" s="10"/>
    </row>
    <row r="22" customFormat="false" ht="15.75" hidden="false" customHeight="false" outlineLevel="0" collapsed="false">
      <c r="A22" s="4"/>
      <c r="B22" s="9" t="s">
        <v>24</v>
      </c>
      <c r="C22" s="6" t="s">
        <v>8</v>
      </c>
      <c r="D22" s="7" t="n">
        <f aca="false">IFERROR(__xludf.dummyfunction("AVERAGE(FILTER('__flatlist__'!D$2:D1012,('__flatlist__'!$B$2:$B1012=$B22),('__flatlist__'!$C$2:$C1012=$C22)))"),0.0806017398899531)</f>
        <v>0.08060173989</v>
      </c>
      <c r="E22" s="8" t="n">
        <f aca="false">IFERROR(__xludf.dummyfunction("AVERAGE(FILTER('__flatlist__'!E$2:E1012,('__flatlist__'!$B$2:$B1012=$B22),('__flatlist__'!$C$2:$C1012=$C22)))"),3)</f>
        <v>3</v>
      </c>
      <c r="F22" s="8" t="n">
        <f aca="false">IFERROR(__xludf.dummyfunction("AVERAGE(FILTER('__flatlist__'!F$2:F1012,('__flatlist__'!$B$2:$B1012=$B22),('__flatlist__'!$C$2:$C1012=$C22)))"),4.7)</f>
        <v>4.7</v>
      </c>
      <c r="G22" s="8" t="n">
        <f aca="false">IFERROR(__xludf.dummyfunction("AVERAGE(FILTER('__flatlist__'!G$2:G1012,('__flatlist__'!$B$2:$B1012=$B22),('__flatlist__'!$C$2:$C1012=$C22)))"),4.4)</f>
        <v>4.4</v>
      </c>
      <c r="H22" s="8" t="n">
        <f aca="false">IFERROR(__xludf.dummyfunction("AVERAGE(FILTER('__flatlist__'!H$2:H1012,('__flatlist__'!$B$2:$B1012=$B22),('__flatlist__'!$C$2:$C1012=$C22)))"),3.9)</f>
        <v>3.9</v>
      </c>
      <c r="I22" s="8" t="n">
        <f aca="false">IFERROR(__xludf.dummyfunction("AVERAGE(FILTER('__flatlist__'!I$2:I1012,('__flatlist__'!$B$2:$B1012=$B22),('__flatlist__'!$C$2:$C1012=$C22)))"),4.2)</f>
        <v>4.2</v>
      </c>
      <c r="J22" s="8" t="n">
        <f aca="false">AVERAGE(E22:I22)</f>
        <v>4.04</v>
      </c>
      <c r="K22" s="9" t="n">
        <f aca="false">RANK(J22,$J$4:$J$23,FALSE())</f>
        <v>9</v>
      </c>
      <c r="M22" s="2"/>
      <c r="N22" s="10"/>
    </row>
    <row r="23" customFormat="false" ht="15.75" hidden="false" customHeight="false" outlineLevel="0" collapsed="false">
      <c r="A23" s="4"/>
      <c r="B23" s="9" t="s">
        <v>24</v>
      </c>
      <c r="C23" s="6" t="s">
        <v>20</v>
      </c>
      <c r="D23" s="7" t="n">
        <f aca="false">IFERROR(__xludf.dummyfunction("AVERAGE(FILTER('__flatlist__'!D$2:D1012,('__flatlist__'!$B$2:$B1012=$B23),('__flatlist__'!$C$2:$C1012=$C23)))"),0.0469751405925446)</f>
        <v>0.04697514059</v>
      </c>
      <c r="E23" s="8" t="n">
        <f aca="false">IFERROR(__xludf.dummyfunction("AVERAGE(FILTER('__flatlist__'!E$2:E1012,('__flatlist__'!$B$2:$B1012=$B23),('__flatlist__'!$C$2:$C1012=$C23)))"),4.1)</f>
        <v>4.1</v>
      </c>
      <c r="F23" s="8" t="n">
        <f aca="false">IFERROR(__xludf.dummyfunction("AVERAGE(FILTER('__flatlist__'!F$2:F1012,('__flatlist__'!$B$2:$B1012=$B23),('__flatlist__'!$C$2:$C1012=$C23)))"),4.5)</f>
        <v>4.5</v>
      </c>
      <c r="G23" s="8" t="n">
        <f aca="false">IFERROR(__xludf.dummyfunction("AVERAGE(FILTER('__flatlist__'!G$2:G1012,('__flatlist__'!$B$2:$B1012=$B23),('__flatlist__'!$C$2:$C1012=$C23)))"),4.3)</f>
        <v>4.3</v>
      </c>
      <c r="H23" s="8" t="n">
        <f aca="false">IFERROR(__xludf.dummyfunction("AVERAGE(FILTER('__flatlist__'!H$2:H1012,('__flatlist__'!$B$2:$B1012=$B23),('__flatlist__'!$C$2:$C1012=$C23)))"),5)</f>
        <v>5</v>
      </c>
      <c r="I23" s="8" t="n">
        <f aca="false">IFERROR(__xludf.dummyfunction("AVERAGE(FILTER('__flatlist__'!I$2:I1012,('__flatlist__'!$B$2:$B1012=$B23),('__flatlist__'!$C$2:$C1012=$C23)))"),3.4)</f>
        <v>3.4</v>
      </c>
      <c r="J23" s="8" t="n">
        <f aca="false">AVERAGE(E23:I23)</f>
        <v>4.26</v>
      </c>
      <c r="K23" s="9" t="n">
        <f aca="false">RANK(J23,$J$4:$J$23,FALSE())</f>
        <v>5</v>
      </c>
      <c r="M23" s="2"/>
      <c r="N23" s="10"/>
    </row>
    <row r="24" customFormat="false" ht="15.75" hidden="false" customHeight="false" outlineLevel="0" collapsed="false">
      <c r="C24" s="6"/>
      <c r="E24" s="8"/>
      <c r="F24" s="8"/>
      <c r="G24" s="8"/>
      <c r="H24" s="8"/>
      <c r="I24" s="8"/>
      <c r="M24" s="2"/>
      <c r="N24" s="10"/>
    </row>
    <row r="25" customFormat="false" ht="15.75" hidden="false" customHeight="false" outlineLevel="0" collapsed="false">
      <c r="A25" s="12"/>
      <c r="B25" s="13"/>
      <c r="C25" s="13"/>
      <c r="D25" s="14" t="s">
        <v>25</v>
      </c>
      <c r="E25" s="14"/>
      <c r="F25" s="14"/>
      <c r="G25" s="14"/>
      <c r="H25" s="14"/>
      <c r="I25" s="14"/>
      <c r="J25" s="14"/>
      <c r="K25" s="14"/>
      <c r="M25" s="2"/>
      <c r="N25" s="10"/>
    </row>
    <row r="26" customFormat="false" ht="15.75" hidden="true" customHeight="false" outlineLevel="0" collapsed="false">
      <c r="A26" s="15" t="str">
        <f aca="false">'🤖 Claude Haiku 3.5'!$A$2</f>
        <v>https://www.berria.eus/kirola/hau-badakit-egunen-batean-aterako-da-barruan-dudan-jokoa_2123931_102.html</v>
      </c>
      <c r="B26" s="16"/>
      <c r="C26" s="17"/>
      <c r="D26" s="18" t="n">
        <f aca="false">IFERROR(__xludf.dummyfunction("AVERAGE(FILTER('__flatlist__'!D$2:D1012,('__flatlist__'!$A$2:$A1012=$A26)))"),0.134461910519952)</f>
        <v>0.1344619105</v>
      </c>
      <c r="E26" s="19" t="n">
        <f aca="false">IFERROR(__xludf.dummyfunction("AVERAGE(FILTER('__flatlist__'!E$2:E1012,('__flatlist__'!$A$2:$A1012=$A26)))"),3.70588235294118)</f>
        <v>3.705882353</v>
      </c>
      <c r="F26" s="19" t="n">
        <f aca="false">IFERROR(__xludf.dummyfunction("AVERAGE(FILTER('__flatlist__'!F$2:F1012,('__flatlist__'!$A$2:$A1012=$A26)))"),4.17647058823529)</f>
        <v>4.176470588</v>
      </c>
      <c r="G26" s="19" t="n">
        <f aca="false">IFERROR(__xludf.dummyfunction("AVERAGE(FILTER('__flatlist__'!G$2:G1012,('__flatlist__'!$A$2:$A1012=$A26)))"),3.88235294117647)</f>
        <v>3.882352941</v>
      </c>
      <c r="H26" s="19" t="n">
        <f aca="false">IFERROR(__xludf.dummyfunction("AVERAGE(FILTER('__flatlist__'!H$2:H1012,('__flatlist__'!$A$2:$A1012=$A26)))"),4.05882352941176)</f>
        <v>4.058823529</v>
      </c>
      <c r="I26" s="19" t="n">
        <f aca="false">IFERROR(__xludf.dummyfunction("AVERAGE(FILTER('__flatlist__'!I$2:I1012,('__flatlist__'!$A$2:$A1012=$A26)))"),3.94117647058824)</f>
        <v>3.941176471</v>
      </c>
      <c r="J26" s="19" t="n">
        <f aca="false">AVERAGE(E26:I26)</f>
        <v>3.9529411764</v>
      </c>
      <c r="K26" s="20"/>
      <c r="M26" s="2"/>
      <c r="N26" s="10"/>
    </row>
    <row r="27" customFormat="false" ht="15.75" hidden="true" customHeight="false" outlineLevel="0" collapsed="false">
      <c r="A27" s="21" t="str">
        <f aca="false">'🤖 Claude Haiku 3.5'!$A$7</f>
        <v>https://www.berria.eus/ekonomia/kutxabankek-2116-euro-bideratu-zituen-karbono-gutxiko-proiektuak-finantzatzera_2120192_102.html</v>
      </c>
      <c r="B27" s="4"/>
      <c r="D27" s="7" t="n">
        <f aca="false">IFERROR(__xludf.dummyfunction("AVERAGE(FILTER('__flatlist__'!D$2:D1012,('__flatlist__'!$A$2:$A1012=$A27)))"),0.514435695538058)</f>
        <v>0.5144356955</v>
      </c>
      <c r="E27" s="8" t="n">
        <f aca="false">IFERROR(__xludf.dummyfunction("AVERAGE(FILTER('__flatlist__'!E$2:E1012,('__flatlist__'!$A$2:$A1012=$A27)))"),3.9047619047619)</f>
        <v>3.904761905</v>
      </c>
      <c r="F27" s="8" t="n">
        <f aca="false">IFERROR(__xludf.dummyfunction("AVERAGE(FILTER('__flatlist__'!F$2:F1012,('__flatlist__'!$A$2:$A1012=$A27)))"),4.61904761904762)</f>
        <v>4.619047619</v>
      </c>
      <c r="G27" s="8" t="n">
        <f aca="false">IFERROR(__xludf.dummyfunction("AVERAGE(FILTER('__flatlist__'!G$2:G1012,('__flatlist__'!$A$2:$A1012=$A27)))"),4.33333333333333)</f>
        <v>4.333333333</v>
      </c>
      <c r="H27" s="8" t="n">
        <f aca="false">IFERROR(__xludf.dummyfunction("AVERAGE(FILTER('__flatlist__'!H$2:H1012,('__flatlist__'!$A$2:$A1012=$A27)))"),3.33333333333333)</f>
        <v>3.333333333</v>
      </c>
      <c r="I27" s="8" t="n">
        <f aca="false">IFERROR(__xludf.dummyfunction("AVERAGE(FILTER('__flatlist__'!I$2:I1012,('__flatlist__'!$A$2:$A1012=$A27)))"),4.76190476190476)</f>
        <v>4.761904762</v>
      </c>
      <c r="J27" s="8" t="n">
        <f aca="false">AVERAGE(E27:I27)</f>
        <v>4.1904761904</v>
      </c>
      <c r="K27" s="22"/>
      <c r="M27" s="2"/>
      <c r="N27" s="10"/>
    </row>
    <row r="28" customFormat="false" ht="15.75" hidden="true" customHeight="false" outlineLevel="0" collapsed="false">
      <c r="A28" s="21" t="str">
        <f aca="false">'🤖 Claude Haiku 3.5'!$A$12</f>
        <v>https://www.berria.eus/bizigiro/tradizioa-eta-abangoardia_2126379_102.html</v>
      </c>
      <c r="B28" s="4"/>
      <c r="D28" s="7" t="n">
        <f aca="false">IFERROR(__xludf.dummyfunction("AVERAGE(FILTER('__flatlist__'!D$2:D1012,('__flatlist__'!$A$2:$A1012=$A28)))"),0.27905701754386)</f>
        <v>0.2790570175</v>
      </c>
      <c r="E28" s="8" t="n">
        <f aca="false">IFERROR(__xludf.dummyfunction("AVERAGE(FILTER('__flatlist__'!E$2:E1012,('__flatlist__'!$A$2:$A1012=$A28)))"),3.52380952380952)</f>
        <v>3.523809524</v>
      </c>
      <c r="F28" s="8" t="n">
        <f aca="false">IFERROR(__xludf.dummyfunction("AVERAGE(FILTER('__flatlist__'!F$2:F1012,('__flatlist__'!$A$2:$A1012=$A28)))"),4.61904761904762)</f>
        <v>4.619047619</v>
      </c>
      <c r="G28" s="8" t="n">
        <f aca="false">IFERROR(__xludf.dummyfunction("AVERAGE(FILTER('__flatlist__'!G$2:G1012,('__flatlist__'!$A$2:$A1012=$A28)))"),4)</f>
        <v>4</v>
      </c>
      <c r="H28" s="8" t="n">
        <f aca="false">IFERROR(__xludf.dummyfunction("AVERAGE(FILTER('__flatlist__'!H$2:H1012,('__flatlist__'!$A$2:$A1012=$A28)))"),3.38095238095238)</f>
        <v>3.380952381</v>
      </c>
      <c r="I28" s="8" t="n">
        <f aca="false">IFERROR(__xludf.dummyfunction("AVERAGE(FILTER('__flatlist__'!I$2:I1012,('__flatlist__'!$A$2:$A1012=$A28)))"),4.04761904761905)</f>
        <v>4.047619048</v>
      </c>
      <c r="J28" s="8" t="n">
        <f aca="false">AVERAGE(E28:I28)</f>
        <v>3.9142857144</v>
      </c>
      <c r="K28" s="22"/>
      <c r="M28" s="2"/>
      <c r="N28" s="10"/>
    </row>
    <row r="29" customFormat="false" ht="15.75" hidden="true" customHeight="false" outlineLevel="0" collapsed="false">
      <c r="A29" s="21" t="str">
        <f aca="false">'🤖 Claude Haiku 3.5'!$A$17</f>
        <v>https://www.berria.eus/mundua/nbek-43-mila-milioi-euro-eskatu-ditu-datorren-urtean-laguntza-humanitarioa-bermatzeko_2117704_102.html</v>
      </c>
      <c r="B29" s="4"/>
      <c r="D29" s="7" t="n">
        <f aca="false">IFERROR(__xludf.dummyfunction("AVERAGE(FILTER('__flatlist__'!D$2:D1012,('__flatlist__'!$A$2:$A1012=$A29)))"),0.199155011655012)</f>
        <v>0.1991550117</v>
      </c>
      <c r="E29" s="8" t="n">
        <f aca="false">IFERROR(__xludf.dummyfunction("AVERAGE(FILTER('__flatlist__'!E$2:E1012,('__flatlist__'!$A$2:$A1012=$A29)))"),3.76190476190476)</f>
        <v>3.761904762</v>
      </c>
      <c r="F29" s="8" t="n">
        <f aca="false">IFERROR(__xludf.dummyfunction("AVERAGE(FILTER('__flatlist__'!F$2:F1012,('__flatlist__'!$A$2:$A1012=$A29)))"),4.52380952380952)</f>
        <v>4.523809524</v>
      </c>
      <c r="G29" s="8" t="n">
        <f aca="false">IFERROR(__xludf.dummyfunction("AVERAGE(FILTER('__flatlist__'!G$2:G1012,('__flatlist__'!$A$2:$A1012=$A29)))"),3.23809523809524)</f>
        <v>3.238095238</v>
      </c>
      <c r="H29" s="8" t="n">
        <f aca="false">IFERROR(__xludf.dummyfunction("AVERAGE(FILTER('__flatlist__'!H$2:H1012,('__flatlist__'!$A$2:$A1012=$A29)))"),3.9047619047619)</f>
        <v>3.904761905</v>
      </c>
      <c r="I29" s="8" t="n">
        <f aca="false">IFERROR(__xludf.dummyfunction("AVERAGE(FILTER('__flatlist__'!I$2:I1012,('__flatlist__'!$A$2:$A1012=$A29)))"),4.61904761904762)</f>
        <v>4.619047619</v>
      </c>
      <c r="J29" s="8" t="n">
        <f aca="false">AVERAGE(E29:I29)</f>
        <v>4.0095238096</v>
      </c>
      <c r="K29" s="22"/>
      <c r="M29" s="2"/>
      <c r="N29" s="10"/>
    </row>
    <row r="30" customFormat="false" ht="15.75" hidden="true" customHeight="false" outlineLevel="0" collapsed="false">
      <c r="A30" s="21" t="str">
        <f aca="false">'🤖 Claude Haiku 3.5'!$A$22</f>
        <v>https://www.berria.eus/kultura/umeak-amari-eman-dio-bidea_2124508_102.html</v>
      </c>
      <c r="B30" s="4"/>
      <c r="D30" s="7" t="n">
        <f aca="false">IFERROR(__xludf.dummyfunction("AVERAGE(FILTER('__flatlist__'!D$2:D1012,('__flatlist__'!$A$2:$A1012=$A30)))"),0.212589605734767)</f>
        <v>0.2125896057</v>
      </c>
      <c r="E30" s="8" t="n">
        <f aca="false">IFERROR(__xludf.dummyfunction("AVERAGE(FILTER('__flatlist__'!E$2:E1012,('__flatlist__'!$A$2:$A1012=$A30)))"),3.23809523809524)</f>
        <v>3.238095238</v>
      </c>
      <c r="F30" s="8" t="n">
        <f aca="false">IFERROR(__xludf.dummyfunction("AVERAGE(FILTER('__flatlist__'!F$2:F1012,('__flatlist__'!$A$2:$A1012=$A30)))"),3.66666666666667)</f>
        <v>3.666666667</v>
      </c>
      <c r="G30" s="8" t="n">
        <f aca="false">IFERROR(__xludf.dummyfunction("AVERAGE(FILTER('__flatlist__'!G$2:G1012,('__flatlist__'!$A$2:$A1012=$A30)))"),4.04761904761905)</f>
        <v>4.047619048</v>
      </c>
      <c r="H30" s="8" t="n">
        <f aca="false">IFERROR(__xludf.dummyfunction("AVERAGE(FILTER('__flatlist__'!H$2:H1012,('__flatlist__'!$A$2:$A1012=$A30)))"),3.80952380952381)</f>
        <v>3.80952381</v>
      </c>
      <c r="I30" s="8" t="n">
        <f aca="false">IFERROR(__xludf.dummyfunction("AVERAGE(FILTER('__flatlist__'!I$2:I1012,('__flatlist__'!$A$2:$A1012=$A30)))"),3.95238095238095)</f>
        <v>3.952380952</v>
      </c>
      <c r="J30" s="8" t="n">
        <f aca="false">AVERAGE(E30:I30)</f>
        <v>3.742857143</v>
      </c>
      <c r="K30" s="22"/>
      <c r="M30" s="2"/>
      <c r="N30" s="10"/>
    </row>
    <row r="31" customFormat="false" ht="15.75" hidden="true" customHeight="false" outlineLevel="0" collapsed="false">
      <c r="A31" s="21" t="str">
        <f aca="false">'🤖 Claude Haiku 3.5'!$A$27</f>
        <v>https://www.berria.eus/euskal-herria/pintaketa-faxistak-egin-dituzte-irunean_2124262_102.html</v>
      </c>
      <c r="B31" s="4"/>
      <c r="D31" s="7" t="n">
        <f aca="false">IFERROR(__xludf.dummyfunction("AVERAGE(FILTER('__flatlist__'!D$2:D1012,('__flatlist__'!$A$2:$A1012=$A31)))"),0.57360097323601)</f>
        <v>0.5736009732</v>
      </c>
      <c r="E31" s="8" t="n">
        <f aca="false">IFERROR(__xludf.dummyfunction("AVERAGE(FILTER('__flatlist__'!E$2:E1012,('__flatlist__'!$A$2:$A1012=$A31)))"),3.42857142857143)</f>
        <v>3.428571429</v>
      </c>
      <c r="F31" s="8" t="n">
        <f aca="false">IFERROR(__xludf.dummyfunction("AVERAGE(FILTER('__flatlist__'!F$2:F1012,('__flatlist__'!$A$2:$A1012=$A31)))"),4.66666666666667)</f>
        <v>4.666666667</v>
      </c>
      <c r="G31" s="8" t="n">
        <f aca="false">IFERROR(__xludf.dummyfunction("AVERAGE(FILTER('__flatlist__'!G$2:G1012,('__flatlist__'!$A$2:$A1012=$A31)))"),3.76190476190476)</f>
        <v>3.761904762</v>
      </c>
      <c r="H31" s="8" t="n">
        <f aca="false">IFERROR(__xludf.dummyfunction("AVERAGE(FILTER('__flatlist__'!H$2:H1012,('__flatlist__'!$A$2:$A1012=$A31)))"),3.71428571428571)</f>
        <v>3.714285714</v>
      </c>
      <c r="I31" s="8" t="n">
        <f aca="false">IFERROR(__xludf.dummyfunction("AVERAGE(FILTER('__flatlist__'!I$2:I1012,('__flatlist__'!$A$2:$A1012=$A31)))"),4)</f>
        <v>4</v>
      </c>
      <c r="J31" s="8" t="n">
        <f aca="false">AVERAGE(E31:I31)</f>
        <v>3.9142857144</v>
      </c>
      <c r="K31" s="22"/>
      <c r="M31" s="2"/>
      <c r="N31" s="10"/>
    </row>
    <row r="32" customFormat="false" ht="15.75" hidden="true" customHeight="false" outlineLevel="0" collapsed="false">
      <c r="A32" s="21" t="str">
        <f aca="false">'🤖 Claude Haiku 3.5'!$A$32</f>
        <v>https://www.berria.eus/ekonomia/eolikoen-arlorako-laguntzetan-orain-halako-bi-jarriko-du-ebk-1400-milioi_1343992_102.html</v>
      </c>
      <c r="B32" s="4"/>
      <c r="D32" s="7" t="n">
        <f aca="false">IFERROR(__xludf.dummyfunction("AVERAGE(FILTER('__flatlist__'!D$2:D1012,('__flatlist__'!$A$2:$A1012=$A32)))"),0.28258896151053)</f>
        <v>0.2825889615</v>
      </c>
      <c r="E32" s="8" t="n">
        <f aca="false">IFERROR(__xludf.dummyfunction("AVERAGE(FILTER('__flatlist__'!E$2:E1012,('__flatlist__'!$A$2:$A1012=$A32)))"),3.52380952380952)</f>
        <v>3.523809524</v>
      </c>
      <c r="F32" s="8" t="n">
        <f aca="false">IFERROR(__xludf.dummyfunction("AVERAGE(FILTER('__flatlist__'!F$2:F1012,('__flatlist__'!$A$2:$A1012=$A32)))"),4.76190476190476)</f>
        <v>4.761904762</v>
      </c>
      <c r="G32" s="8" t="n">
        <f aca="false">IFERROR(__xludf.dummyfunction("AVERAGE(FILTER('__flatlist__'!G$2:G1012,('__flatlist__'!$A$2:$A1012=$A32)))"),3.66666666666667)</f>
        <v>3.666666667</v>
      </c>
      <c r="H32" s="8" t="n">
        <f aca="false">IFERROR(__xludf.dummyfunction("AVERAGE(FILTER('__flatlist__'!H$2:H1012,('__flatlist__'!$A$2:$A1012=$A32)))"),3.28571428571429)</f>
        <v>3.285714286</v>
      </c>
      <c r="I32" s="8" t="n">
        <f aca="false">IFERROR(__xludf.dummyfunction("AVERAGE(FILTER('__flatlist__'!I$2:I1012,('__flatlist__'!$A$2:$A1012=$A32)))"),3.42857142857143)</f>
        <v>3.428571429</v>
      </c>
      <c r="J32" s="8" t="n">
        <f aca="false">AVERAGE(E32:I32)</f>
        <v>3.7333333336</v>
      </c>
      <c r="K32" s="22"/>
      <c r="M32" s="2"/>
      <c r="N32" s="10"/>
    </row>
    <row r="33" customFormat="false" ht="15.75" hidden="true" customHeight="false" outlineLevel="0" collapsed="false">
      <c r="A33" s="21" t="str">
        <f aca="false">'🤖 Claude Haiku 3.5'!$A$37</f>
        <v>https://www.berria.eus/kultura/itsasun-egingo-dute-irailekoak-poesia-jaialdia-aurten_2125293_102.html</v>
      </c>
      <c r="B33" s="4"/>
      <c r="D33" s="7" t="n">
        <f aca="false">IFERROR(__xludf.dummyfunction("AVERAGE(FILTER('__flatlist__'!D$2:D1012,('__flatlist__'!$A$2:$A1012=$A33)))"),0.459109730848861)</f>
        <v>0.4591097308</v>
      </c>
      <c r="E33" s="8" t="n">
        <f aca="false">IFERROR(__xludf.dummyfunction("AVERAGE(FILTER('__flatlist__'!E$2:E1012,('__flatlist__'!$A$2:$A1012=$A33)))"),3.66666666666667)</f>
        <v>3.666666667</v>
      </c>
      <c r="F33" s="8" t="n">
        <f aca="false">IFERROR(__xludf.dummyfunction("AVERAGE(FILTER('__flatlist__'!F$2:F1012,('__flatlist__'!$A$2:$A1012=$A33)))"),4.19047619047619)</f>
        <v>4.19047619</v>
      </c>
      <c r="G33" s="8" t="n">
        <f aca="false">IFERROR(__xludf.dummyfunction("AVERAGE(FILTER('__flatlist__'!G$2:G1012,('__flatlist__'!$A$2:$A1012=$A33)))"),4)</f>
        <v>4</v>
      </c>
      <c r="H33" s="8" t="n">
        <f aca="false">IFERROR(__xludf.dummyfunction("AVERAGE(FILTER('__flatlist__'!H$2:H1012,('__flatlist__'!$A$2:$A1012=$A33)))"),4)</f>
        <v>4</v>
      </c>
      <c r="I33" s="8" t="n">
        <f aca="false">IFERROR(__xludf.dummyfunction("AVERAGE(FILTER('__flatlist__'!I$2:I1012,('__flatlist__'!$A$2:$A1012=$A33)))"),4.42857142857143)</f>
        <v>4.428571429</v>
      </c>
      <c r="J33" s="8" t="n">
        <f aca="false">AVERAGE(E33:I33)</f>
        <v>4.0571428572</v>
      </c>
      <c r="K33" s="22"/>
      <c r="M33" s="2"/>
      <c r="N33" s="10"/>
    </row>
    <row r="34" customFormat="false" ht="15.75" hidden="true" customHeight="false" outlineLevel="0" collapsed="false">
      <c r="A34" s="21" t="str">
        <f aca="false">'🤖 Claude Haiku 3.5'!$A$42</f>
        <v>https://www.berria.eus/kultura/nolabaiteko-kontrarreforma-bat-gertatzen-ari-da-eta-horren-aurrean-elkartu-beharra-daukagu_2124481_102.html</v>
      </c>
      <c r="B34" s="4"/>
      <c r="D34" s="7" t="n">
        <f aca="false">IFERROR(__xludf.dummyfunction("AVERAGE(FILTER('__flatlist__'!D$2:D1012,('__flatlist__'!$A$2:$A1012=$A34)))"),0.166202967673556)</f>
        <v>0.1662029677</v>
      </c>
      <c r="E34" s="8" t="n">
        <f aca="false">IFERROR(__xludf.dummyfunction("AVERAGE(FILTER('__flatlist__'!E$2:E1012,('__flatlist__'!$A$2:$A1012=$A34)))"),3.28571428571429)</f>
        <v>3.285714286</v>
      </c>
      <c r="F34" s="8" t="n">
        <f aca="false">IFERROR(__xludf.dummyfunction("AVERAGE(FILTER('__flatlist__'!F$2:F1012,('__flatlist__'!$A$2:$A1012=$A34)))"),4.52380952380952)</f>
        <v>4.523809524</v>
      </c>
      <c r="G34" s="8" t="n">
        <f aca="false">IFERROR(__xludf.dummyfunction("AVERAGE(FILTER('__flatlist__'!G$2:G1012,('__flatlist__'!$A$2:$A1012=$A34)))"),3.9047619047619)</f>
        <v>3.904761905</v>
      </c>
      <c r="H34" s="8" t="n">
        <f aca="false">IFERROR(__xludf.dummyfunction("AVERAGE(FILTER('__flatlist__'!H$2:H1012,('__flatlist__'!$A$2:$A1012=$A34)))"),3.76190476190476)</f>
        <v>3.761904762</v>
      </c>
      <c r="I34" s="8" t="n">
        <f aca="false">IFERROR(__xludf.dummyfunction("AVERAGE(FILTER('__flatlist__'!I$2:I1012,('__flatlist__'!$A$2:$A1012=$A34)))"),4.14285714285714)</f>
        <v>4.142857143</v>
      </c>
      <c r="J34" s="8" t="n">
        <f aca="false">AVERAGE(E34:I34)</f>
        <v>3.923809524</v>
      </c>
      <c r="K34" s="22"/>
      <c r="M34" s="2"/>
      <c r="N34" s="10"/>
    </row>
    <row r="35" customFormat="false" ht="15.75" hidden="true" customHeight="false" outlineLevel="0" collapsed="false">
      <c r="A35" s="21" t="str">
        <f aca="false">'🤖 Claude Haiku 3.5'!$A$47</f>
        <v>https://www.berria.eus/euskal-herria/ortuzarrek-dio-eajk-euskadiko-estatus-berriari-bultzada-eman-nahi-diola_2124257_102.html</v>
      </c>
      <c r="B35" s="4"/>
      <c r="D35" s="7" t="n">
        <f aca="false">IFERROR(__xludf.dummyfunction("AVERAGE(FILTER('__flatlist__'!D$2:D1012,('__flatlist__'!$A$2:$A1012=$A35)))"),0.235583016476553)</f>
        <v>0.2355830165</v>
      </c>
      <c r="E35" s="8" t="n">
        <f aca="false">IFERROR(__xludf.dummyfunction("AVERAGE(FILTER('__flatlist__'!E$2:E1012,('__flatlist__'!$A$2:$A1012=$A35)))"),3.57142857142857)</f>
        <v>3.571428571</v>
      </c>
      <c r="F35" s="8" t="n">
        <f aca="false">IFERROR(__xludf.dummyfunction("AVERAGE(FILTER('__flatlist__'!F$2:F1012,('__flatlist__'!$A$2:$A1012=$A35)))"),4.42857142857143)</f>
        <v>4.428571429</v>
      </c>
      <c r="G35" s="8" t="n">
        <f aca="false">IFERROR(__xludf.dummyfunction("AVERAGE(FILTER('__flatlist__'!G$2:G1012,('__flatlist__'!$A$2:$A1012=$A35)))"),3.76190476190476)</f>
        <v>3.761904762</v>
      </c>
      <c r="H35" s="8" t="n">
        <f aca="false">IFERROR(__xludf.dummyfunction("AVERAGE(FILTER('__flatlist__'!H$2:H1012,('__flatlist__'!$A$2:$A1012=$A35)))"),3.71428571428571)</f>
        <v>3.714285714</v>
      </c>
      <c r="I35" s="8" t="n">
        <f aca="false">IFERROR(__xludf.dummyfunction("AVERAGE(FILTER('__flatlist__'!I$2:I1012,('__flatlist__'!$A$2:$A1012=$A35)))"),4.14285714285714)</f>
        <v>4.142857143</v>
      </c>
      <c r="J35" s="8" t="n">
        <f aca="false">AVERAGE(E35:I35)</f>
        <v>3.9238095238</v>
      </c>
      <c r="K35" s="22"/>
      <c r="M35" s="2"/>
      <c r="N35" s="10"/>
    </row>
    <row r="36" customFormat="false" ht="15.75" hidden="true" customHeight="false" outlineLevel="0" collapsed="false">
      <c r="A36" s="23"/>
      <c r="B36" s="4" t="s">
        <v>17</v>
      </c>
      <c r="D36" s="7" t="n">
        <f aca="false">IFERROR(__xludf.dummyfunction("AVERAGE(FILTER('__flatlist__'!D$2:D1012,('__flatlist__'!$B$2:$B1012=$B36)))"),0.128512394081754)</f>
        <v>0.1285123941</v>
      </c>
      <c r="E36" s="8" t="n">
        <f aca="false">IFERROR(__xludf.dummyfunction("AVERAGE(FILTER('__flatlist__'!E$2:E1012,('__flatlist__'!$B$2:$B1012=$B36)))"),3.075)</f>
        <v>3.075</v>
      </c>
      <c r="F36" s="8" t="n">
        <f aca="false">IFERROR(__xludf.dummyfunction("AVERAGE(FILTER('__flatlist__'!F$2:F1012,('__flatlist__'!$B$2:$B1012=$B36)))"),4.425)</f>
        <v>4.425</v>
      </c>
      <c r="G36" s="8" t="n">
        <f aca="false">IFERROR(__xludf.dummyfunction("AVERAGE(FILTER('__flatlist__'!G$2:G1012,('__flatlist__'!$B$2:$B1012=$B36)))"),3.75)</f>
        <v>3.75</v>
      </c>
      <c r="H36" s="8" t="n">
        <f aca="false">IFERROR(__xludf.dummyfunction("AVERAGE(FILTER('__flatlist__'!H$2:H1012,('__flatlist__'!$B$2:$B1012=$B36)))"),3)</f>
        <v>3</v>
      </c>
      <c r="I36" s="8" t="n">
        <f aca="false">IFERROR(__xludf.dummyfunction("AVERAGE(FILTER('__flatlist__'!I$2:I1012,('__flatlist__'!$B$2:$B1012=$B36)))"),4.675)</f>
        <v>4.675</v>
      </c>
      <c r="J36" s="8" t="n">
        <f aca="false">AVERAGE(E36:I36)</f>
        <v>3.785</v>
      </c>
      <c r="K36" s="24" t="n">
        <f aca="false">RANK(J36,$J$36:$J$40,FALSE())</f>
        <v>4</v>
      </c>
      <c r="M36" s="2"/>
      <c r="N36" s="10"/>
    </row>
    <row r="37" customFormat="false" ht="15.75" hidden="false" customHeight="false" outlineLevel="0" collapsed="false">
      <c r="A37" s="23"/>
      <c r="B37" s="4" t="s">
        <v>21</v>
      </c>
      <c r="D37" s="7" t="n">
        <f aca="false">IFERROR(__xludf.dummyfunction("AVERAGE(FILTER('__flatlist__'!D$2:D1012,('__flatlist__'!$B$2:$B1012=$B37)))"),0.150022881854094)</f>
        <v>0.1500228819</v>
      </c>
      <c r="E37" s="8" t="n">
        <f aca="false">IFERROR(__xludf.dummyfunction("AVERAGE(FILTER('__flatlist__'!E$2:E1012,('__flatlist__'!$B$2:$B1012=$B37)))"),3.175)</f>
        <v>3.175</v>
      </c>
      <c r="F37" s="8" t="n">
        <f aca="false">IFERROR(__xludf.dummyfunction("AVERAGE(FILTER('__flatlist__'!F$2:F1012,('__flatlist__'!$B$2:$B1012=$B37)))"),4.025)</f>
        <v>4.025</v>
      </c>
      <c r="G37" s="8" t="n">
        <f aca="false">IFERROR(__xludf.dummyfunction("AVERAGE(FILTER('__flatlist__'!G$2:G1012,('__flatlist__'!$B$2:$B1012=$B37)))"),2.225)</f>
        <v>2.225</v>
      </c>
      <c r="H37" s="8" t="n">
        <f aca="false">IFERROR(__xludf.dummyfunction("AVERAGE(FILTER('__flatlist__'!H$2:H1012,('__flatlist__'!$B$2:$B1012=$B37)))"),2.925)</f>
        <v>2.925</v>
      </c>
      <c r="I37" s="8" t="n">
        <f aca="false">IFERROR(__xludf.dummyfunction("AVERAGE(FILTER('__flatlist__'!I$2:I1012,('__flatlist__'!$B$2:$B1012=$B37)))"),3.6)</f>
        <v>3.6</v>
      </c>
      <c r="J37" s="8" t="n">
        <f aca="false">AVERAGE(E37:I37)</f>
        <v>3.19</v>
      </c>
      <c r="K37" s="25" t="n">
        <f aca="false">RANK(J37,$J$36:$J$40,FALSE())</f>
        <v>5</v>
      </c>
      <c r="M37" s="2"/>
      <c r="N37" s="10"/>
    </row>
    <row r="38" customFormat="false" ht="15.75" hidden="false" customHeight="false" outlineLevel="0" collapsed="false">
      <c r="A38" s="23"/>
      <c r="B38" s="4" t="s">
        <v>22</v>
      </c>
      <c r="D38" s="7" t="n">
        <f aca="false">IFERROR(__xludf.dummyfunction("AVERAGE(FILTER('__flatlist__'!D$2:D1012,('__flatlist__'!$B$2:$B1012=$B38)))"),0.121619601683445)</f>
        <v>0.1216196017</v>
      </c>
      <c r="E38" s="8" t="n">
        <f aca="false">IFERROR(__xludf.dummyfunction("AVERAGE(FILTER('__flatlist__'!E$2:E1012,('__flatlist__'!$B$2:$B1012=$B38)))"),4.075)</f>
        <v>4.075</v>
      </c>
      <c r="F38" s="8" t="n">
        <f aca="false">IFERROR(__xludf.dummyfunction("AVERAGE(FILTER('__flatlist__'!F$2:F1012,('__flatlist__'!$B$2:$B1012=$B38)))"),4.5)</f>
        <v>4.5</v>
      </c>
      <c r="G38" s="8" t="n">
        <f aca="false">IFERROR(__xludf.dummyfunction("AVERAGE(FILTER('__flatlist__'!G$2:G1012,('__flatlist__'!$B$2:$B1012=$B38)))"),4.65)</f>
        <v>4.65</v>
      </c>
      <c r="H38" s="8" t="n">
        <f aca="false">IFERROR(__xludf.dummyfunction("AVERAGE(FILTER('__flatlist__'!H$2:H1012,('__flatlist__'!$B$2:$B1012=$B38)))"),3.75)</f>
        <v>3.75</v>
      </c>
      <c r="I38" s="8" t="n">
        <f aca="false">IFERROR(__xludf.dummyfunction("AVERAGE(FILTER('__flatlist__'!I$2:I1012,('__flatlist__'!$B$2:$B1012=$B38)))"),4.75)</f>
        <v>4.75</v>
      </c>
      <c r="J38" s="8" t="n">
        <f aca="false">AVERAGE(E38:I38)</f>
        <v>4.345</v>
      </c>
      <c r="K38" s="25" t="n">
        <f aca="false">RANK(J38,$J$36:$J$40,FALSE())</f>
        <v>1</v>
      </c>
      <c r="M38" s="2"/>
      <c r="N38" s="10"/>
    </row>
    <row r="39" customFormat="false" ht="15.75" hidden="false" customHeight="false" outlineLevel="0" collapsed="false">
      <c r="A39" s="4"/>
      <c r="B39" s="4" t="s">
        <v>23</v>
      </c>
      <c r="D39" s="7" t="n">
        <f aca="false">IFERROR(__xludf.dummyfunction("AVERAGE(FILTER('__flatlist__'!D$2:D1012,('__flatlist__'!$B$2:$B1012=$B39)))"),0.0833577459544644)</f>
        <v>0.08335774595</v>
      </c>
      <c r="E39" s="8" t="n">
        <f aca="false">IFERROR(__xludf.dummyfunction("AVERAGE(FILTER('__flatlist__'!E$2:E1012,('__flatlist__'!$B$2:$B1012=$B39)))"),3.725)</f>
        <v>3.725</v>
      </c>
      <c r="F39" s="8" t="n">
        <f aca="false">IFERROR(__xludf.dummyfunction("AVERAGE(FILTER('__flatlist__'!F$2:F1012,('__flatlist__'!$B$2:$B1012=$B39)))"),4.35)</f>
        <v>4.35</v>
      </c>
      <c r="G39" s="8" t="n">
        <f aca="false">IFERROR(__xludf.dummyfunction("AVERAGE(FILTER('__flatlist__'!G$2:G1012,('__flatlist__'!$B$2:$B1012=$B39)))"),3.9)</f>
        <v>3.9</v>
      </c>
      <c r="H39" s="8" t="n">
        <f aca="false">IFERROR(__xludf.dummyfunction("AVERAGE(FILTER('__flatlist__'!H$2:H1012,('__flatlist__'!$B$2:$B1012=$B39)))"),4.15)</f>
        <v>4.15</v>
      </c>
      <c r="I39" s="8" t="n">
        <f aca="false">IFERROR(__xludf.dummyfunction("AVERAGE(FILTER('__flatlist__'!I$2:I1012,('__flatlist__'!$B$2:$B1012=$B39)))"),4.4)</f>
        <v>4.4</v>
      </c>
      <c r="J39" s="8" t="n">
        <f aca="false">AVERAGE(E39:I39)</f>
        <v>4.105</v>
      </c>
      <c r="K39" s="25" t="n">
        <f aca="false">RANK(J39,$J$36:$J$40,FALSE())</f>
        <v>2</v>
      </c>
      <c r="M39" s="2"/>
      <c r="N39" s="10"/>
    </row>
    <row r="40" customFormat="false" ht="15.75" hidden="false" customHeight="false" outlineLevel="0" collapsed="false">
      <c r="A40" s="23"/>
      <c r="B40" s="9" t="s">
        <v>24</v>
      </c>
      <c r="D40" s="7" t="n">
        <f aca="false">IFERROR(__xludf.dummyfunction("AVERAGE(FILTER('__flatlist__'!D$2:D1012,('__flatlist__'!$B$2:$B1012=$B40)))"),0.0592513139499509)</f>
        <v>0.05925131395</v>
      </c>
      <c r="E40" s="8" t="n">
        <f aca="false">IFERROR(__xludf.dummyfunction("AVERAGE(FILTER('__flatlist__'!E$2:E1012,('__flatlist__'!$B$2:$B1012=$B40)))"),3.675)</f>
        <v>3.675</v>
      </c>
      <c r="F40" s="8" t="n">
        <f aca="false">IFERROR(__xludf.dummyfunction("AVERAGE(FILTER('__flatlist__'!F$2:F1012,('__flatlist__'!$B$2:$B1012=$B40)))"),4.625)</f>
        <v>4.625</v>
      </c>
      <c r="G40" s="8" t="n">
        <f aca="false">IFERROR(__xludf.dummyfunction("AVERAGE(FILTER('__flatlist__'!G$2:G1012,('__flatlist__'!$B$2:$B1012=$B40)))"),4.275)</f>
        <v>4.275</v>
      </c>
      <c r="H40" s="8" t="n">
        <f aca="false">IFERROR(__xludf.dummyfunction("AVERAGE(FILTER('__flatlist__'!H$2:H1012,('__flatlist__'!$B$2:$B1012=$B40)))"),4.35)</f>
        <v>4.35</v>
      </c>
      <c r="I40" s="8" t="n">
        <f aca="false">IFERROR(__xludf.dummyfunction("AVERAGE(FILTER('__flatlist__'!I$2:I1012,('__flatlist__'!$B$2:$B1012=$B40)))"),3.525)</f>
        <v>3.525</v>
      </c>
      <c r="J40" s="8" t="n">
        <f aca="false">AVERAGE(E40:I40)</f>
        <v>4.09</v>
      </c>
      <c r="K40" s="26" t="n">
        <f aca="false">RANK(J40,$J$36:$J$40,FALSE())</f>
        <v>3</v>
      </c>
      <c r="M40" s="2"/>
      <c r="N40" s="10"/>
    </row>
    <row r="41" customFormat="false" ht="15.75" hidden="false" customHeight="false" outlineLevel="0" collapsed="false">
      <c r="A41" s="27"/>
      <c r="B41" s="17"/>
      <c r="C41" s="28" t="s">
        <v>18</v>
      </c>
      <c r="D41" s="18" t="n">
        <f aca="false">IFERROR(__xludf.dummyfunction("AVERAGE(FILTER('__flatlist__'!D$2:D1012,('__flatlist__'!$C$2:$C1012=$C41)))"),0.139194027112779)</f>
        <v>0.1391940271</v>
      </c>
      <c r="E41" s="29" t="n">
        <f aca="false">IFERROR(__xludf.dummyfunction("AVERAGE(FILTER('__flatlist__'!E$2:E1012,('__flatlist__'!$C$2:$C1012=$C41)))"),3.98)</f>
        <v>3.98</v>
      </c>
      <c r="F41" s="29" t="n">
        <f aca="false">IFERROR(__xludf.dummyfunction("AVERAGE(FILTER('__flatlist__'!F$2:F1012,('__flatlist__'!$C$2:$C1012=$C41)))"),4.42)</f>
        <v>4.42</v>
      </c>
      <c r="G41" s="29" t="n">
        <f aca="false">IFERROR(__xludf.dummyfunction("AVERAGE(FILTER('__flatlist__'!G$2:G1012,('__flatlist__'!$C$2:$C1012=$C41)))"),3.54)</f>
        <v>3.54</v>
      </c>
      <c r="H41" s="29" t="n">
        <f aca="false">IFERROR(__xludf.dummyfunction("AVERAGE(FILTER('__flatlist__'!H$2:H1012,('__flatlist__'!$C$2:$C1012=$C41)))"),3.44)</f>
        <v>3.44</v>
      </c>
      <c r="I41" s="29" t="n">
        <f aca="false">IFERROR(__xludf.dummyfunction("AVERAGE(FILTER('__flatlist__'!I$2:I1012,('__flatlist__'!$C$2:$C1012=$C41)))"),4.32)</f>
        <v>4.32</v>
      </c>
      <c r="J41" s="29" t="n">
        <f aca="false">AVERAGE(E41:I41)</f>
        <v>3.94</v>
      </c>
      <c r="K41" s="25" t="n">
        <f aca="false">RANK(J41,$J$41:$J$44,FALSE())</f>
        <v>2</v>
      </c>
      <c r="M41" s="2"/>
      <c r="N41" s="10"/>
    </row>
    <row r="42" customFormat="false" ht="15.75" hidden="false" customHeight="false" outlineLevel="0" collapsed="false">
      <c r="A42" s="30"/>
      <c r="C42" s="6" t="s">
        <v>19</v>
      </c>
      <c r="D42" s="7" t="n">
        <f aca="false">IFERROR(__xludf.dummyfunction("AVERAGE(FILTER('__flatlist__'!D$2:D1012,('__flatlist__'!$C$2:$C1012=$C42)))"),0.0904456795716991)</f>
        <v>0.09044567957</v>
      </c>
      <c r="E42" s="10" t="n">
        <f aca="false">IFERROR(__xludf.dummyfunction("AVERAGE(FILTER('__flatlist__'!E$2:E1012,('__flatlist__'!$C$2:$C1012=$C42)))"),3.46)</f>
        <v>3.46</v>
      </c>
      <c r="F42" s="10" t="n">
        <f aca="false">IFERROR(__xludf.dummyfunction("AVERAGE(FILTER('__flatlist__'!F$2:F1012,('__flatlist__'!$C$2:$C1012=$C42)))"),4.28)</f>
        <v>4.28</v>
      </c>
      <c r="G42" s="10" t="n">
        <f aca="false">IFERROR(__xludf.dummyfunction("AVERAGE(FILTER('__flatlist__'!G$2:G1012,('__flatlist__'!$C$2:$C1012=$C42)))"),3.94)</f>
        <v>3.94</v>
      </c>
      <c r="H42" s="10" t="n">
        <f aca="false">IFERROR(__xludf.dummyfunction("AVERAGE(FILTER('__flatlist__'!H$2:H1012,('__flatlist__'!$C$2:$C1012=$C42)))"),3.42)</f>
        <v>3.42</v>
      </c>
      <c r="I42" s="10" t="n">
        <f aca="false">IFERROR(__xludf.dummyfunction("AVERAGE(FILTER('__flatlist__'!I$2:I1012,('__flatlist__'!$C$2:$C1012=$C42)))"),3.8)</f>
        <v>3.8</v>
      </c>
      <c r="J42" s="10" t="n">
        <f aca="false">AVERAGE(E42:I42)</f>
        <v>3.78</v>
      </c>
      <c r="K42" s="25" t="n">
        <f aca="false">RANK(J42,$J$41:$J$44,FALSE())</f>
        <v>4</v>
      </c>
      <c r="M42" s="2"/>
      <c r="N42" s="10"/>
    </row>
    <row r="43" customFormat="false" ht="15.75" hidden="false" customHeight="false" outlineLevel="0" collapsed="false">
      <c r="A43" s="30"/>
      <c r="C43" s="6" t="s">
        <v>8</v>
      </c>
      <c r="D43" s="7" t="n">
        <f aca="false">IFERROR(__xludf.dummyfunction("AVERAGE(FILTER('__flatlist__'!D$2:D1012,('__flatlist__'!$C$2:$C1012=$C43)))"),0.117420820497802)</f>
        <v>0.1174208205</v>
      </c>
      <c r="E43" s="10" t="n">
        <f aca="false">IFERROR(__xludf.dummyfunction("AVERAGE(FILTER('__flatlist__'!E$2:E1012,('__flatlist__'!$C$2:$C1012=$C43)))"),2.86)</f>
        <v>2.86</v>
      </c>
      <c r="F43" s="10" t="n">
        <f aca="false">IFERROR(__xludf.dummyfunction("AVERAGE(FILTER('__flatlist__'!F$2:F1012,('__flatlist__'!$C$2:$C1012=$C43)))"),4.36)</f>
        <v>4.36</v>
      </c>
      <c r="G43" s="10" t="n">
        <f aca="false">IFERROR(__xludf.dummyfunction("AVERAGE(FILTER('__flatlist__'!G$2:G1012,('__flatlist__'!$C$2:$C1012=$C43)))"),4.08)</f>
        <v>4.08</v>
      </c>
      <c r="H43" s="10" t="n">
        <f aca="false">IFERROR(__xludf.dummyfunction("AVERAGE(FILTER('__flatlist__'!H$2:H1012,('__flatlist__'!$C$2:$C1012=$C43)))"),3.46)</f>
        <v>3.46</v>
      </c>
      <c r="I43" s="10" t="n">
        <f aca="false">IFERROR(__xludf.dummyfunction("AVERAGE(FILTER('__flatlist__'!I$2:I1012,('__flatlist__'!$C$2:$C1012=$C43)))"),4.54)</f>
        <v>4.54</v>
      </c>
      <c r="J43" s="10" t="n">
        <f aca="false">AVERAGE(E43:I43)</f>
        <v>3.86</v>
      </c>
      <c r="K43" s="25" t="n">
        <f aca="false">RANK(J43,$J$41:$J$44,FALSE())</f>
        <v>3</v>
      </c>
      <c r="M43" s="2"/>
      <c r="N43" s="10"/>
    </row>
    <row r="44" customFormat="false" ht="15.75" hidden="false" customHeight="false" outlineLevel="0" collapsed="false">
      <c r="A44" s="31"/>
      <c r="B44" s="32"/>
      <c r="C44" s="33" t="s">
        <v>20</v>
      </c>
      <c r="D44" s="34" t="n">
        <f aca="false">IFERROR(__xludf.dummyfunction("AVERAGE(FILTER('__flatlist__'!D$2:D1012,('__flatlist__'!$C$2:$C1012=$C44)))"),0.0871506228366872)</f>
        <v>0.08715062284</v>
      </c>
      <c r="E44" s="35" t="n">
        <f aca="false">IFERROR(__xludf.dummyfunction("AVERAGE(FILTER('__flatlist__'!E$2:E1012,('__flatlist__'!$C$2:$C1012=$C44)))"),3.88)</f>
        <v>3.88</v>
      </c>
      <c r="F44" s="35" t="n">
        <f aca="false">IFERROR(__xludf.dummyfunction("AVERAGE(FILTER('__flatlist__'!F$2:F1012,('__flatlist__'!$C$2:$C1012=$C44)))"),4.48)</f>
        <v>4.48</v>
      </c>
      <c r="G44" s="35" t="n">
        <f aca="false">IFERROR(__xludf.dummyfunction("AVERAGE(FILTER('__flatlist__'!G$2:G1012,('__flatlist__'!$C$2:$C1012=$C44)))"),3.48)</f>
        <v>3.48</v>
      </c>
      <c r="H44" s="35" t="n">
        <f aca="false">IFERROR(__xludf.dummyfunction("AVERAGE(FILTER('__flatlist__'!H$2:H1012,('__flatlist__'!$C$2:$C1012=$C44)))"),4.22)</f>
        <v>4.22</v>
      </c>
      <c r="I44" s="35" t="n">
        <f aca="false">IFERROR(__xludf.dummyfunction("AVERAGE(FILTER('__flatlist__'!I$2:I1012,('__flatlist__'!$C$2:$C1012=$C44)))"),4.1)</f>
        <v>4.1</v>
      </c>
      <c r="J44" s="35" t="n">
        <f aca="false">AVERAGE(E44:I44)</f>
        <v>4.032</v>
      </c>
      <c r="K44" s="26" t="n">
        <f aca="false">RANK(J44,$J$41:$J$44,FALSE())</f>
        <v>1</v>
      </c>
      <c r="M44" s="2"/>
      <c r="N44" s="10"/>
    </row>
    <row r="45" customFormat="false" ht="15.75" hidden="false" customHeight="false" outlineLevel="0" collapsed="false">
      <c r="A45" s="2"/>
      <c r="B45" s="2"/>
      <c r="C45" s="10"/>
    </row>
    <row r="46" customFormat="false" ht="15.75" hidden="false" customHeight="false" outlineLevel="0" collapsed="false">
      <c r="A46" s="36"/>
      <c r="B46" s="37"/>
      <c r="C46" s="37"/>
      <c r="D46" s="38" t="s">
        <v>26</v>
      </c>
      <c r="E46" s="38"/>
      <c r="F46" s="38"/>
      <c r="G46" s="38"/>
      <c r="H46" s="38"/>
      <c r="I46" s="38"/>
      <c r="M46" s="2"/>
      <c r="N46" s="10"/>
    </row>
    <row r="47" customFormat="false" ht="15.75" hidden="true" customHeight="false" outlineLevel="0" collapsed="false">
      <c r="A47" s="15" t="str">
        <f aca="false">'🤖 Claude Haiku 3.5'!$A$2</f>
        <v>https://www.berria.eus/kirola/hau-badakit-egunen-batean-aterako-da-barruan-dudan-jokoa_2123931_102.html</v>
      </c>
      <c r="B47" s="16"/>
      <c r="C47" s="17"/>
      <c r="D47" s="18" t="n">
        <f aca="false">IFERROR(__xludf.dummyfunction("STDEV(FILTER('__flatlist__'!D$2:D1012,('__flatlist__'!$A$2:$A1012=$A47)))"),0.0830245890813798)</f>
        <v>0.08302458908</v>
      </c>
      <c r="E47" s="29" t="n">
        <f aca="false">IFERROR(__xludf.dummyfunction("STDEV(FILTER('__flatlist__'!E$2:E1012,('__flatlist__'!$A$2:$A1012=$A47)))"),0.848874687627165)</f>
        <v>0.8488746876</v>
      </c>
      <c r="F47" s="29" t="n">
        <f aca="false">IFERROR(__xludf.dummyfunction("STDEV(FILTER('__flatlist__'!F$2:F1012,('__flatlist__'!$A$2:$A1012=$A47)))"),0.63593377383646)</f>
        <v>0.6359337738</v>
      </c>
      <c r="G47" s="29" t="n">
        <f aca="false">IFERROR(__xludf.dummyfunction("STDEV(FILTER('__flatlist__'!G$2:G1012,('__flatlist__'!$A$2:$A1012=$A47)))"),1.16631647405284)</f>
        <v>1.166316474</v>
      </c>
      <c r="H47" s="29" t="n">
        <f aca="false">IFERROR(__xludf.dummyfunction("STDEV(FILTER('__flatlist__'!H$2:H1012,('__flatlist__'!$A$2:$A1012=$A47)))"),0.658652814016432)</f>
        <v>0.658652814</v>
      </c>
      <c r="I47" s="39" t="n">
        <f aca="false">IFERROR(__xludf.dummyfunction("STDEV(FILTER('__flatlist__'!I$2:I1012,('__flatlist__'!$A$2:$A1012=$A47)))"),0.966345450349804)</f>
        <v>0.9663454503</v>
      </c>
      <c r="M47" s="2"/>
      <c r="N47" s="10"/>
    </row>
    <row r="48" customFormat="false" ht="15.75" hidden="true" customHeight="false" outlineLevel="0" collapsed="false">
      <c r="A48" s="21" t="str">
        <f aca="false">'🤖 Claude Haiku 3.5'!$A$7</f>
        <v>https://www.berria.eus/ekonomia/kutxabankek-2116-euro-bideratu-zituen-karbono-gutxiko-proiektuak-finantzatzera_2120192_102.html</v>
      </c>
      <c r="B48" s="4"/>
      <c r="D48" s="7" t="n">
        <f aca="false">IFERROR(__xludf.dummyfunction("STDEV(FILTER('__flatlist__'!D$2:D1012,('__flatlist__'!$A$2:$A1012=$A48)))"),0.34067146007303)</f>
        <v>0.3406714601</v>
      </c>
      <c r="E48" s="10" t="n">
        <f aca="false">IFERROR(__xludf.dummyfunction("STDEV(FILTER('__flatlist__'!E$2:E1012,('__flatlist__'!$A$2:$A1012=$A48)))"),0.943650459903555)</f>
        <v>0.9436504599</v>
      </c>
      <c r="F48" s="10" t="n">
        <f aca="false">IFERROR(__xludf.dummyfunction("STDEV(FILTER('__flatlist__'!F$2:F1012,('__flatlist__'!$A$2:$A1012=$A48)))"),0.589592272353571)</f>
        <v>0.5895922724</v>
      </c>
      <c r="G48" s="10" t="n">
        <f aca="false">IFERROR(__xludf.dummyfunction("STDEV(FILTER('__flatlist__'!G$2:G1012,('__flatlist__'!$A$2:$A1012=$A48)))"),0.856348838577675)</f>
        <v>0.8563488386</v>
      </c>
      <c r="H48" s="10" t="n">
        <f aca="false">IFERROR(__xludf.dummyfunction("STDEV(FILTER('__flatlist__'!H$2:H1012,('__flatlist__'!$A$2:$A1012=$A48)))"),1.06458129484475)</f>
        <v>1.064581295</v>
      </c>
      <c r="I48" s="40" t="n">
        <f aca="false">IFERROR(__xludf.dummyfunction("STDEV(FILTER('__flatlist__'!I$2:I1012,('__flatlist__'!$A$2:$A1012=$A48)))"),0.624880941040924)</f>
        <v>0.624880941</v>
      </c>
      <c r="M48" s="2"/>
      <c r="N48" s="10"/>
    </row>
    <row r="49" customFormat="false" ht="15.75" hidden="true" customHeight="false" outlineLevel="0" collapsed="false">
      <c r="A49" s="21" t="str">
        <f aca="false">'🤖 Claude Haiku 3.5'!$A$12</f>
        <v>https://www.berria.eus/bizigiro/tradizioa-eta-abangoardia_2126379_102.html</v>
      </c>
      <c r="B49" s="4"/>
      <c r="D49" s="7" t="n">
        <f aca="false">IFERROR(__xludf.dummyfunction("STDEV(FILTER('__flatlist__'!D$2:D1012,('__flatlist__'!$A$2:$A1012=$A49)))"),0.234621524001251)</f>
        <v>0.234621524</v>
      </c>
      <c r="E49" s="10" t="n">
        <f aca="false">IFERROR(__xludf.dummyfunction("STDEV(FILTER('__flatlist__'!E$2:E1012,('__flatlist__'!$A$2:$A1012=$A49)))"),0.980767435177556)</f>
        <v>0.9807674352</v>
      </c>
      <c r="F49" s="10" t="n">
        <f aca="false">IFERROR(__xludf.dummyfunction("STDEV(FILTER('__flatlist__'!F$2:F1012,('__flatlist__'!$A$2:$A1012=$A49)))"),0.740012869900955)</f>
        <v>0.7400128699</v>
      </c>
      <c r="G49" s="10" t="n">
        <f aca="false">IFERROR(__xludf.dummyfunction("STDEV(FILTER('__flatlist__'!G$2:G1012,('__flatlist__'!$A$2:$A1012=$A49)))"),1.26491106406735)</f>
        <v>1.264911064</v>
      </c>
      <c r="H49" s="10" t="n">
        <f aca="false">IFERROR(__xludf.dummyfunction("STDEV(FILTER('__flatlist__'!H$2:H1012,('__flatlist__'!$A$2:$A1012=$A49)))"),1.28359613882991)</f>
        <v>1.283596139</v>
      </c>
      <c r="I49" s="40" t="n">
        <f aca="false">IFERROR(__xludf.dummyfunction("STDEV(FILTER('__flatlist__'!I$2:I1012,('__flatlist__'!$A$2:$A1012=$A49)))"),1.2440333788203)</f>
        <v>1.244033379</v>
      </c>
      <c r="M49" s="2"/>
      <c r="N49" s="10"/>
    </row>
    <row r="50" customFormat="false" ht="15.75" hidden="true" customHeight="false" outlineLevel="0" collapsed="false">
      <c r="A50" s="21" t="str">
        <f aca="false">'🤖 Claude Haiku 3.5'!$A$17</f>
        <v>https://www.berria.eus/mundua/nbek-43-mila-milioi-euro-eskatu-ditu-datorren-urtean-laguntza-humanitarioa-bermatzeko_2117704_102.html</v>
      </c>
      <c r="B50" s="4"/>
      <c r="D50" s="7" t="n">
        <f aca="false">IFERROR(__xludf.dummyfunction("STDEV(FILTER('__flatlist__'!D$2:D1012,('__flatlist__'!$A$2:$A1012=$A50)))"),0.111971119096684)</f>
        <v>0.1119711191</v>
      </c>
      <c r="E50" s="10" t="n">
        <f aca="false">IFERROR(__xludf.dummyfunction("STDEV(FILTER('__flatlist__'!E$2:E1012,('__flatlist__'!$A$2:$A1012=$A50)))"),0.889087279447969)</f>
        <v>0.8890872794</v>
      </c>
      <c r="F50" s="10" t="n">
        <f aca="false">IFERROR(__xludf.dummyfunction("STDEV(FILTER('__flatlist__'!F$2:F1012,('__flatlist__'!$A$2:$A1012=$A50)))"),0.749603069567329)</f>
        <v>0.7496030696</v>
      </c>
      <c r="G50" s="10" t="n">
        <f aca="false">IFERROR(__xludf.dummyfunction("STDEV(FILTER('__flatlist__'!G$2:G1012,('__flatlist__'!$A$2:$A1012=$A50)))"),1.17918454470714)</f>
        <v>1.179184545</v>
      </c>
      <c r="H50" s="10" t="n">
        <f aca="false">IFERROR(__xludf.dummyfunction("STDEV(FILTER('__flatlist__'!H$2:H1012,('__flatlist__'!$A$2:$A1012=$A50)))"),0.995226703056239)</f>
        <v>0.9952267031</v>
      </c>
      <c r="I50" s="40" t="n">
        <f aca="false">IFERROR(__xludf.dummyfunction("STDEV(FILTER('__flatlist__'!I$2:I1012,('__flatlist__'!$A$2:$A1012=$A50)))"),0.669043382464133)</f>
        <v>0.6690433825</v>
      </c>
      <c r="M50" s="2"/>
      <c r="N50" s="10"/>
    </row>
    <row r="51" customFormat="false" ht="15.75" hidden="true" customHeight="false" outlineLevel="0" collapsed="false">
      <c r="A51" s="21" t="str">
        <f aca="false">'🤖 Claude Haiku 3.5'!$A$22</f>
        <v>https://www.berria.eus/kultura/umeak-amari-eman-dio-bidea_2124508_102.html</v>
      </c>
      <c r="B51" s="4"/>
      <c r="D51" s="7" t="n">
        <f aca="false">IFERROR(__xludf.dummyfunction("STDEV(FILTER('__flatlist__'!D$2:D1012,('__flatlist__'!$A$2:$A1012=$A51)))"),0.146588840428196)</f>
        <v>0.1465888404</v>
      </c>
      <c r="E51" s="10" t="n">
        <f aca="false">IFERROR(__xludf.dummyfunction("STDEV(FILTER('__flatlist__'!E$2:E1012,('__flatlist__'!$A$2:$A1012=$A51)))"),0.830948969838817)</f>
        <v>0.8309489698</v>
      </c>
      <c r="F51" s="10" t="n">
        <f aca="false">IFERROR(__xludf.dummyfunction("STDEV(FILTER('__flatlist__'!F$2:F1012,('__flatlist__'!$A$2:$A1012=$A51)))"),1.06458129484475)</f>
        <v>1.064581295</v>
      </c>
      <c r="G51" s="10" t="n">
        <f aca="false">IFERROR(__xludf.dummyfunction("STDEV(FILTER('__flatlist__'!G$2:G1012,('__flatlist__'!$A$2:$A1012=$A51)))"),1.2440333788203)</f>
        <v>1.244033379</v>
      </c>
      <c r="H51" s="10" t="n">
        <f aca="false">IFERROR(__xludf.dummyfunction("STDEV(FILTER('__flatlist__'!H$2:H1012,('__flatlist__'!$A$2:$A1012=$A51)))"),0.813575295780767)</f>
        <v>0.8135752958</v>
      </c>
      <c r="I51" s="40" t="n">
        <f aca="false">IFERROR(__xludf.dummyfunction("STDEV(FILTER('__flatlist__'!I$2:I1012,('__flatlist__'!$A$2:$A1012=$A51)))"),1.11696868694653)</f>
        <v>1.116968687</v>
      </c>
      <c r="M51" s="2"/>
      <c r="N51" s="10"/>
    </row>
    <row r="52" customFormat="false" ht="15.75" hidden="true" customHeight="false" outlineLevel="0" collapsed="false">
      <c r="A52" s="21" t="str">
        <f aca="false">'🤖 Claude Haiku 3.5'!$A$27</f>
        <v>https://www.berria.eus/euskal-herria/pintaketa-faxistak-egin-dituzte-irunean_2124262_102.html</v>
      </c>
      <c r="B52" s="4"/>
      <c r="D52" s="7" t="n">
        <f aca="false">IFERROR(__xludf.dummyfunction("STDEV(FILTER('__flatlist__'!D$2:D1012,('__flatlist__'!$A$2:$A1012=$A52)))"),0.371287118340894)</f>
        <v>0.3712871183</v>
      </c>
      <c r="E52" s="10" t="n">
        <f aca="false">IFERROR(__xludf.dummyfunction("STDEV(FILTER('__flatlist__'!E$2:E1012,('__flatlist__'!$A$2:$A1012=$A52)))"),0.676123403782813)</f>
        <v>0.6761234038</v>
      </c>
      <c r="F52" s="10" t="n">
        <f aca="false">IFERROR(__xludf.dummyfunction("STDEV(FILTER('__flatlist__'!F$2:F1012,('__flatlist__'!$A$2:$A1012=$A52)))"),0.658280588604383)</f>
        <v>0.6582805886</v>
      </c>
      <c r="G52" s="10" t="n">
        <f aca="false">IFERROR(__xludf.dummyfunction("STDEV(FILTER('__flatlist__'!G$2:G1012,('__flatlist__'!$A$2:$A1012=$A52)))"),1.54611648670991)</f>
        <v>1.546116487</v>
      </c>
      <c r="H52" s="10" t="n">
        <f aca="false">IFERROR(__xludf.dummyfunction("STDEV(FILTER('__flatlist__'!H$2:H1012,('__flatlist__'!$A$2:$A1012=$A52)))"),1.14642300844222)</f>
        <v>1.146423008</v>
      </c>
      <c r="I52" s="40" t="n">
        <f aca="false">IFERROR(__xludf.dummyfunction("STDEV(FILTER('__flatlist__'!I$2:I1012,('__flatlist__'!$A$2:$A1012=$A52)))"),0.894427190999916)</f>
        <v>0.894427191</v>
      </c>
      <c r="M52" s="2"/>
      <c r="N52" s="10"/>
    </row>
    <row r="53" customFormat="false" ht="15.75" hidden="true" customHeight="false" outlineLevel="0" collapsed="false">
      <c r="A53" s="21" t="str">
        <f aca="false">'🤖 Claude Haiku 3.5'!$A$32</f>
        <v>https://www.berria.eus/ekonomia/eolikoen-arlorako-laguntzetan-orain-halako-bi-jarriko-du-ebk-1400-milioi_1343992_102.html</v>
      </c>
      <c r="B53" s="4"/>
      <c r="D53" s="7" t="n">
        <f aca="false">IFERROR(__xludf.dummyfunction("STDEV(FILTER('__flatlist__'!D$2:D1012,('__flatlist__'!$A$2:$A1012=$A53)))"),0.278784561383938)</f>
        <v>0.2787845614</v>
      </c>
      <c r="E53" s="10" t="n">
        <f aca="false">IFERROR(__xludf.dummyfunction("STDEV(FILTER('__flatlist__'!E$2:E1012,('__flatlist__'!$A$2:$A1012=$A53)))"),0.749603069567329)</f>
        <v>0.7496030696</v>
      </c>
      <c r="F53" s="10" t="n">
        <f aca="false">IFERROR(__xludf.dummyfunction("STDEV(FILTER('__flatlist__'!F$2:F1012,('__flatlist__'!$A$2:$A1012=$A53)))"),0.436435780471985)</f>
        <v>0.4364357805</v>
      </c>
      <c r="G53" s="10" t="n">
        <f aca="false">IFERROR(__xludf.dummyfunction("STDEV(FILTER('__flatlist__'!G$2:G1012,('__flatlist__'!$A$2:$A1012=$A53)))"),1.27801930084539)</f>
        <v>1.278019301</v>
      </c>
      <c r="H53" s="10" t="n">
        <f aca="false">IFERROR(__xludf.dummyfunction("STDEV(FILTER('__flatlist__'!H$2:H1012,('__flatlist__'!$A$2:$A1012=$A53)))"),1.10194633003868)</f>
        <v>1.10194633</v>
      </c>
      <c r="I53" s="40" t="n">
        <f aca="false">IFERROR(__xludf.dummyfunction("STDEV(FILTER('__flatlist__'!I$2:I1012,('__flatlist__'!$A$2:$A1012=$A53)))"),0.978336781043653)</f>
        <v>0.978336781</v>
      </c>
      <c r="M53" s="2"/>
      <c r="N53" s="10"/>
    </row>
    <row r="54" customFormat="false" ht="15.75" hidden="true" customHeight="false" outlineLevel="0" collapsed="false">
      <c r="A54" s="21" t="str">
        <f aca="false">'🤖 Claude Haiku 3.5'!$A$37</f>
        <v>https://www.berria.eus/kultura/itsasun-egingo-dute-irailekoak-poesia-jaialdia-aurten_2125293_102.html</v>
      </c>
      <c r="B54" s="4"/>
      <c r="D54" s="7" t="n">
        <f aca="false">IFERROR(__xludf.dummyfunction("STDEV(FILTER('__flatlist__'!D$2:D1012,('__flatlist__'!$A$2:$A1012=$A54)))"),0.317914074016251)</f>
        <v>0.317914074</v>
      </c>
      <c r="E54" s="10" t="n">
        <f aca="false">IFERROR(__xludf.dummyfunction("STDEV(FILTER('__flatlist__'!E$2:E1012,('__flatlist__'!$A$2:$A1012=$A54)))"),0.577350269189626)</f>
        <v>0.5773502692</v>
      </c>
      <c r="F54" s="10" t="n">
        <f aca="false">IFERROR(__xludf.dummyfunction("STDEV(FILTER('__flatlist__'!F$2:F1012,('__flatlist__'!$A$2:$A1012=$A54)))"),0.87287156094397)</f>
        <v>0.8728715609</v>
      </c>
      <c r="G54" s="10" t="n">
        <f aca="false">IFERROR(__xludf.dummyfunction("STDEV(FILTER('__flatlist__'!G$2:G1012,('__flatlist__'!$A$2:$A1012=$A54)))"),1.22474487139159)</f>
        <v>1.224744871</v>
      </c>
      <c r="H54" s="10" t="n">
        <f aca="false">IFERROR(__xludf.dummyfunction("STDEV(FILTER('__flatlist__'!H$2:H1012,('__flatlist__'!$A$2:$A1012=$A54)))"),1.04880884817015)</f>
        <v>1.048808848</v>
      </c>
      <c r="I54" s="40" t="n">
        <f aca="false">IFERROR(__xludf.dummyfunction("STDEV(FILTER('__flatlist__'!I$2:I1012,('__flatlist__'!$A$2:$A1012=$A54)))"),1.02817452659695)</f>
        <v>1.028174527</v>
      </c>
      <c r="M54" s="2"/>
      <c r="N54" s="10"/>
    </row>
    <row r="55" customFormat="false" ht="15.75" hidden="true" customHeight="false" outlineLevel="0" collapsed="false">
      <c r="A55" s="21" t="str">
        <f aca="false">'🤖 Claude Haiku 3.5'!$A$42</f>
        <v>https://www.berria.eus/kultura/nolabaiteko-kontrarreforma-bat-gertatzen-ari-da-eta-horren-aurrean-elkartu-beharra-daukagu_2124481_102.html</v>
      </c>
      <c r="B55" s="4"/>
      <c r="D55" s="7" t="n">
        <f aca="false">IFERROR(__xludf.dummyfunction("STDEV(FILTER('__flatlist__'!D$2:D1012,('__flatlist__'!$A$2:$A1012=$A55)))"),0.103247647432446)</f>
        <v>0.1032476474</v>
      </c>
      <c r="E55" s="10" t="n">
        <f aca="false">IFERROR(__xludf.dummyfunction("STDEV(FILTER('__flatlist__'!E$2:E1012,('__flatlist__'!$A$2:$A1012=$A55)))"),0.783763812819726)</f>
        <v>0.7837638128</v>
      </c>
      <c r="F55" s="10" t="n">
        <f aca="false">IFERROR(__xludf.dummyfunction("STDEV(FILTER('__flatlist__'!F$2:F1012,('__flatlist__'!$A$2:$A1012=$A55)))"),0.813575295780767)</f>
        <v>0.8135752958</v>
      </c>
      <c r="G55" s="10" t="n">
        <f aca="false">IFERROR(__xludf.dummyfunction("STDEV(FILTER('__flatlist__'!G$2:G1012,('__flatlist__'!$A$2:$A1012=$A55)))"),1.22085060121056)</f>
        <v>1.220850601</v>
      </c>
      <c r="H55" s="10" t="n">
        <f aca="false">IFERROR(__xludf.dummyfunction("STDEV(FILTER('__flatlist__'!H$2:H1012,('__flatlist__'!$A$2:$A1012=$A55)))"),0.943650459903555)</f>
        <v>0.9436504599</v>
      </c>
      <c r="I55" s="40" t="n">
        <f aca="false">IFERROR(__xludf.dummyfunction("STDEV(FILTER('__flatlist__'!I$2:I1012,('__flatlist__'!$A$2:$A1012=$A55)))"),1.06234242529018)</f>
        <v>1.062342425</v>
      </c>
      <c r="M55" s="2"/>
      <c r="N55" s="10"/>
    </row>
    <row r="56" customFormat="false" ht="15.75" hidden="true" customHeight="false" outlineLevel="0" collapsed="false">
      <c r="A56" s="41" t="str">
        <f aca="false">'🤖 Claude Haiku 3.5'!$A$47</f>
        <v>https://www.berria.eus/euskal-herria/ortuzarrek-dio-eajk-euskadiko-estatus-berriari-bultzada-eman-nahi-diola_2124257_102.html</v>
      </c>
      <c r="B56" s="42"/>
      <c r="C56" s="32"/>
      <c r="D56" s="34" t="n">
        <f aca="false">IFERROR(__xludf.dummyfunction("STDEV(FILTER('__flatlist__'!D$2:D1012,('__flatlist__'!$A$2:$A1012=$A56)))"),0.170492581342197)</f>
        <v>0.1704925813</v>
      </c>
      <c r="E56" s="35" t="n">
        <f aca="false">IFERROR(__xludf.dummyfunction("STDEV(FILTER('__flatlist__'!E$2:E1012,('__flatlist__'!$A$2:$A1012=$A56)))"),1.12122382116278)</f>
        <v>1.121223821</v>
      </c>
      <c r="F56" s="35" t="n">
        <f aca="false">IFERROR(__xludf.dummyfunction("STDEV(FILTER('__flatlist__'!F$2:F1012,('__flatlist__'!$A$2:$A1012=$A56)))"),0.925820099772552)</f>
        <v>0.9258200998</v>
      </c>
      <c r="G56" s="35" t="n">
        <f aca="false">IFERROR(__xludf.dummyfunction("STDEV(FILTER('__flatlist__'!G$2:G1012,('__flatlist__'!$A$2:$A1012=$A56)))"),1.37494588638106)</f>
        <v>1.374945886</v>
      </c>
      <c r="H56" s="35" t="n">
        <f aca="false">IFERROR(__xludf.dummyfunction("STDEV(FILTER('__flatlist__'!H$2:H1012,('__flatlist__'!$A$2:$A1012=$A56)))"),1.0555973258235)</f>
        <v>1.055597326</v>
      </c>
      <c r="I56" s="43" t="n">
        <f aca="false">IFERROR(__xludf.dummyfunction("STDEV(FILTER('__flatlist__'!I$2:I1012,('__flatlist__'!$A$2:$A1012=$A56)))"),0.853563956930837)</f>
        <v>0.8535639569</v>
      </c>
      <c r="M56" s="2"/>
      <c r="N56" s="10"/>
    </row>
    <row r="57" customFormat="false" ht="15.75" hidden="false" customHeight="false" outlineLevel="0" collapsed="false">
      <c r="A57" s="23"/>
      <c r="B57" s="4" t="s">
        <v>17</v>
      </c>
      <c r="D57" s="7" t="n">
        <f aca="false">IFERROR(__xludf.dummyfunction("STDEV(FILTER('__flatlist__'!D$2:D1012,('__flatlist__'!$B$2:$B1012=$B57)))"),0.255104497555819)</f>
        <v>0.2551044976</v>
      </c>
      <c r="E57" s="10" t="n">
        <f aca="false">IFERROR(__xludf.dummyfunction("STDEV(FILTER('__flatlist__'!E$2:E1012,('__flatlist__'!$B$2:$B1012=$B57)))"),0.572332161042958)</f>
        <v>0.572332161</v>
      </c>
      <c r="F57" s="10" t="n">
        <f aca="false">IFERROR(__xludf.dummyfunction("STDEV(FILTER('__flatlist__'!F$2:F1012,('__flatlist__'!$B$2:$B1012=$B57)))"),0.873762861685903)</f>
        <v>0.8737628617</v>
      </c>
      <c r="G57" s="10" t="n">
        <f aca="false">IFERROR(__xludf.dummyfunction("STDEV(FILTER('__flatlist__'!G$2:G1012,('__flatlist__'!$B$2:$B1012=$B57)))"),1.6132464481796)</f>
        <v>1.613246448</v>
      </c>
      <c r="H57" s="10" t="n">
        <f aca="false">IFERROR(__xludf.dummyfunction("STDEV(FILTER('__flatlist__'!H$2:H1012,('__flatlist__'!$B$2:$B1012=$B57)))"),0.847318545736323)</f>
        <v>0.8473185457</v>
      </c>
      <c r="I57" s="40" t="n">
        <f aca="false">IFERROR(__xludf.dummyfunction("STDEV(FILTER('__flatlist__'!I$2:I1012,('__flatlist__'!$B$2:$B1012=$B57)))"),0.655841600638603)</f>
        <v>0.6558416006</v>
      </c>
      <c r="M57" s="2"/>
      <c r="N57" s="10"/>
    </row>
    <row r="58" customFormat="false" ht="15.75" hidden="false" customHeight="false" outlineLevel="0" collapsed="false">
      <c r="A58" s="23"/>
      <c r="B58" s="4" t="s">
        <v>21</v>
      </c>
      <c r="D58" s="7" t="n">
        <f aca="false">IFERROR(__xludf.dummyfunction("STDEV(FILTER('__flatlist__'!D$2:D1012,('__flatlist__'!$B$2:$B1012=$B58)))"),0.282597096625932)</f>
        <v>0.2825970966</v>
      </c>
      <c r="E58" s="10" t="n">
        <f aca="false">IFERROR(__xludf.dummyfunction("STDEV(FILTER('__flatlist__'!E$2:E1012,('__flatlist__'!$B$2:$B1012=$B58)))"),1.08338264187587)</f>
        <v>1.083382642</v>
      </c>
      <c r="F58" s="10" t="n">
        <f aca="false">IFERROR(__xludf.dummyfunction("STDEV(FILTER('__flatlist__'!F$2:F1012,('__flatlist__'!$B$2:$B1012=$B58)))"),0.999679435798784)</f>
        <v>0.9996794358</v>
      </c>
      <c r="G58" s="10" t="n">
        <f aca="false">IFERROR(__xludf.dummyfunction("STDEV(FILTER('__flatlist__'!G$2:G1012,('__flatlist__'!$B$2:$B1012=$B58)))"),0.800240348510756)</f>
        <v>0.8002403485</v>
      </c>
      <c r="H58" s="10" t="n">
        <f aca="false">IFERROR(__xludf.dummyfunction("STDEV(FILTER('__flatlist__'!H$2:H1012,('__flatlist__'!$B$2:$B1012=$B58)))"),0.971055465948634)</f>
        <v>0.9710554659</v>
      </c>
      <c r="I58" s="40" t="n">
        <f aca="false">IFERROR(__xludf.dummyfunction("STDEV(FILTER('__flatlist__'!I$2:I1012,('__flatlist__'!$B$2:$B1012=$B58)))"),1.12773883137669)</f>
        <v>1.127738831</v>
      </c>
      <c r="M58" s="2"/>
      <c r="N58" s="10"/>
    </row>
    <row r="59" customFormat="false" ht="15.75" hidden="false" customHeight="false" outlineLevel="0" collapsed="false">
      <c r="A59" s="23"/>
      <c r="B59" s="4" t="s">
        <v>22</v>
      </c>
      <c r="D59" s="7" t="n">
        <f aca="false">IFERROR(__xludf.dummyfunction("STDEV(FILTER('__flatlist__'!D$2:D1012,('__flatlist__'!$B$2:$B1012=$B59)))"),0.252865453388034)</f>
        <v>0.2528654534</v>
      </c>
      <c r="E59" s="10" t="n">
        <f aca="false">IFERROR(__xludf.dummyfunction("STDEV(FILTER('__flatlist__'!E$2:E1012,('__flatlist__'!$B$2:$B1012=$B59)))"),0.888314451139102)</f>
        <v>0.8883144511</v>
      </c>
      <c r="F59" s="10" t="n">
        <f aca="false">IFERROR(__xludf.dummyfunction("STDEV(FILTER('__flatlist__'!F$2:F1012,('__flatlist__'!$B$2:$B1012=$B59)))"),0.751067616198811)</f>
        <v>0.7510676162</v>
      </c>
      <c r="G59" s="10" t="n">
        <f aca="false">IFERROR(__xludf.dummyfunction("STDEV(FILTER('__flatlist__'!G$2:G1012,('__flatlist__'!$B$2:$B1012=$B59)))"),0.622237484550302)</f>
        <v>0.6222374846</v>
      </c>
      <c r="H59" s="10" t="n">
        <f aca="false">IFERROR(__xludf.dummyfunction("STDEV(FILTER('__flatlist__'!H$2:H1012,('__flatlist__'!$B$2:$B1012=$B59)))"),0.926808695996298)</f>
        <v>0.926808696</v>
      </c>
      <c r="I59" s="40" t="n">
        <f aca="false">IFERROR(__xludf.dummyfunction("STDEV(FILTER('__flatlist__'!I$2:I1012,('__flatlist__'!$B$2:$B1012=$B59)))"),0.543020989347368)</f>
        <v>0.5430209893</v>
      </c>
      <c r="M59" s="2"/>
      <c r="N59" s="10"/>
    </row>
    <row r="60" customFormat="false" ht="15.75" hidden="false" customHeight="false" outlineLevel="0" collapsed="false">
      <c r="A60" s="4"/>
      <c r="B60" s="4" t="s">
        <v>23</v>
      </c>
      <c r="D60" s="7" t="n">
        <f aca="false">IFERROR(__xludf.dummyfunction("STDEV(FILTER('__flatlist__'!D$2:D1012,('__flatlist__'!$B$2:$B1012=$B60)))"),0.149246199252802)</f>
        <v>0.1492461993</v>
      </c>
      <c r="E60" s="10" t="n">
        <f aca="false">IFERROR(__xludf.dummyfunction("STDEV(FILTER('__flatlist__'!E$2:E1012,('__flatlist__'!$B$2:$B1012=$B60)))"),0.750640751932333)</f>
        <v>0.7506407519</v>
      </c>
      <c r="F60" s="10" t="n">
        <f aca="false">IFERROR(__xludf.dummyfunction("STDEV(FILTER('__flatlist__'!F$2:F1012,('__flatlist__'!$B$2:$B1012=$B60)))"),0.833589704154145)</f>
        <v>0.8335897042</v>
      </c>
      <c r="G60" s="10" t="n">
        <f aca="false">IFERROR(__xludf.dummyfunction("STDEV(FILTER('__flatlist__'!G$2:G1012,('__flatlist__'!$B$2:$B1012=$B60)))"),0.777899868317385)</f>
        <v>0.7778998683</v>
      </c>
      <c r="H60" s="10" t="n">
        <f aca="false">IFERROR(__xludf.dummyfunction("STDEV(FILTER('__flatlist__'!H$2:H1012,('__flatlist__'!$B$2:$B1012=$B60)))"),0.802240452476528)</f>
        <v>0.8022404525</v>
      </c>
      <c r="I60" s="40" t="n">
        <f aca="false">IFERROR(__xludf.dummyfunction("STDEV(FILTER('__flatlist__'!I$2:I1012,('__flatlist__'!$B$2:$B1012=$B60)))"),0.810191493666933)</f>
        <v>0.8101914937</v>
      </c>
      <c r="M60" s="2"/>
      <c r="N60" s="10"/>
    </row>
    <row r="61" customFormat="false" ht="15.75" hidden="false" customHeight="false" outlineLevel="0" collapsed="false">
      <c r="A61" s="23"/>
      <c r="B61" s="4" t="s">
        <v>24</v>
      </c>
      <c r="D61" s="7" t="n">
        <f aca="false">IFERROR(__xludf.dummyfunction("STDEV(FILTER('__flatlist__'!D$2:D1012,('__flatlist__'!$B$2:$B1012=$B61)))"),0.110533171658989)</f>
        <v>0.1105331717</v>
      </c>
      <c r="E61" s="10" t="n">
        <f aca="false">IFERROR(__xludf.dummyfunction("STDEV(FILTER('__flatlist__'!E$2:E1012,('__flatlist__'!$B$2:$B1012=$B61)))"),0.729857731131422)</f>
        <v>0.7298577311</v>
      </c>
      <c r="F61" s="10" t="n">
        <f aca="false">IFERROR(__xludf.dummyfunction("STDEV(FILTER('__flatlist__'!F$2:F1012,('__flatlist__'!$B$2:$B1012=$B61)))"),0.585618235669551)</f>
        <v>0.5856182357</v>
      </c>
      <c r="G61" s="10" t="n">
        <f aca="false">IFERROR(__xludf.dummyfunction("STDEV(FILTER('__flatlist__'!G$2:G1012,('__flatlist__'!$B$2:$B1012=$B61)))"),0.784055858815932)</f>
        <v>0.7840558588</v>
      </c>
      <c r="H61" s="10" t="n">
        <f aca="false">IFERROR(__xludf.dummyfunction("STDEV(FILTER('__flatlist__'!H$2:H1012,('__flatlist__'!$B$2:$B1012=$B61)))"),0.769615288509586)</f>
        <v>0.7696152885</v>
      </c>
      <c r="I61" s="40" t="n">
        <f aca="false">IFERROR(__xludf.dummyfunction("STDEV(FILTER('__flatlist__'!I$2:I1012,('__flatlist__'!$B$2:$B1012=$B61)))"),0.960435264573255)</f>
        <v>0.9604352646</v>
      </c>
      <c r="M61" s="2"/>
      <c r="N61" s="10"/>
    </row>
    <row r="62" customFormat="false" ht="15.75" hidden="false" customHeight="false" outlineLevel="0" collapsed="false">
      <c r="A62" s="27"/>
      <c r="B62" s="17"/>
      <c r="C62" s="28" t="s">
        <v>18</v>
      </c>
      <c r="D62" s="18" t="n">
        <f aca="false">IFERROR(__xludf.dummyfunction("STDEV(FILTER('__flatlist__'!D$2:D1012,('__flatlist__'!$C$2:$C1012=$C62)))"),0.295579097012385)</f>
        <v>0.295579097</v>
      </c>
      <c r="E62" s="29" t="n">
        <f aca="false">IFERROR(__xludf.dummyfunction("STDEV(FILTER('__flatlist__'!E$2:E1012,('__flatlist__'!$C$2:$C1012=$C62)))"),0.868731188314901)</f>
        <v>0.8687311883</v>
      </c>
      <c r="F62" s="29" t="n">
        <f aca="false">IFERROR(__xludf.dummyfunction("STDEV(FILTER('__flatlist__'!F$2:F1012,('__flatlist__'!$C$2:$C1012=$C62)))"),0.949543391879078)</f>
        <v>0.9495433919</v>
      </c>
      <c r="G62" s="29" t="n">
        <f aca="false">IFERROR(__xludf.dummyfunction("STDEV(FILTER('__flatlist__'!G$2:G1012,('__flatlist__'!$C$2:$C1012=$C62)))"),1.47371528277815)</f>
        <v>1.473715283</v>
      </c>
      <c r="H62" s="29" t="n">
        <f aca="false">IFERROR(__xludf.dummyfunction("STDEV(FILTER('__flatlist__'!H$2:H1012,('__flatlist__'!$C$2:$C1012=$C62)))"),1.32726510278136)</f>
        <v>1.327265103</v>
      </c>
      <c r="I62" s="39" t="n">
        <f aca="false">IFERROR(__xludf.dummyfunction("STDEV(FILTER('__flatlist__'!I$2:I1012,('__flatlist__'!$C$2:$C1012=$C62)))"),0.935468888213994)</f>
        <v>0.9354688882</v>
      </c>
      <c r="M62" s="2"/>
      <c r="N62" s="10"/>
    </row>
    <row r="63" customFormat="false" ht="15.75" hidden="false" customHeight="false" outlineLevel="0" collapsed="false">
      <c r="A63" s="30"/>
      <c r="C63" s="6" t="s">
        <v>19</v>
      </c>
      <c r="D63" s="7" t="n">
        <f aca="false">IFERROR(__xludf.dummyfunction("STDEV(FILTER('__flatlist__'!D$2:D1012,('__flatlist__'!$C$2:$C1012=$C63)))"),0.169624895409652)</f>
        <v>0.1696248954</v>
      </c>
      <c r="E63" s="10" t="n">
        <f aca="false">IFERROR(__xludf.dummyfunction("STDEV(FILTER('__flatlist__'!E$2:E1012,('__flatlist__'!$C$2:$C1012=$C63)))"),1.01438631291867)</f>
        <v>1.014386313</v>
      </c>
      <c r="F63" s="10" t="n">
        <f aca="false">IFERROR(__xludf.dummyfunction("STDEV(FILTER('__flatlist__'!F$2:F1012,('__flatlist__'!$C$2:$C1012=$C63)))"),0.83397254396151)</f>
        <v>0.833972544</v>
      </c>
      <c r="G63" s="10" t="n">
        <f aca="false">IFERROR(__xludf.dummyfunction("STDEV(FILTER('__flatlist__'!G$2:G1012,('__flatlist__'!$C$2:$C1012=$C63)))"),1.07684345971673)</f>
        <v>1.07684346</v>
      </c>
      <c r="H63" s="10" t="n">
        <f aca="false">IFERROR(__xludf.dummyfunction("STDEV(FILTER('__flatlist__'!H$2:H1012,('__flatlist__'!$C$2:$C1012=$C63)))"),0.78480466827545)</f>
        <v>0.7848046683</v>
      </c>
      <c r="I63" s="40" t="n">
        <f aca="false">IFERROR(__xludf.dummyfunction("STDEV(FILTER('__flatlist__'!I$2:I1012,('__flatlist__'!$C$2:$C1012=$C63)))"),1.16057691494799)</f>
        <v>1.160576915</v>
      </c>
      <c r="M63" s="2"/>
      <c r="N63" s="10"/>
    </row>
    <row r="64" customFormat="false" ht="15.75" hidden="false" customHeight="false" outlineLevel="0" collapsed="false">
      <c r="A64" s="30"/>
      <c r="C64" s="6" t="s">
        <v>8</v>
      </c>
      <c r="D64" s="7" t="n">
        <f aca="false">IFERROR(__xludf.dummyfunction("STDEV(FILTER('__flatlist__'!D$2:D1012,('__flatlist__'!$C$2:$C1012=$C64)))"),0.225127769406195)</f>
        <v>0.2251277694</v>
      </c>
      <c r="E64" s="10" t="n">
        <f aca="false">IFERROR(__xludf.dummyfunction("STDEV(FILTER('__flatlist__'!E$2:E1012,('__flatlist__'!$C$2:$C1012=$C64)))"),0.350509832753866)</f>
        <v>0.3505098328</v>
      </c>
      <c r="F64" s="10" t="n">
        <f aca="false">IFERROR(__xludf.dummyfunction("STDEV(FILTER('__flatlist__'!F$2:F1012,('__flatlist__'!$C$2:$C1012=$C64)))"),0.827092275778865)</f>
        <v>0.8270922758</v>
      </c>
      <c r="G64" s="10" t="n">
        <f aca="false">IFERROR(__xludf.dummyfunction("STDEV(FILTER('__flatlist__'!G$2:G1012,('__flatlist__'!$C$2:$C1012=$C64)))"),0.92228642237537)</f>
        <v>0.9222864224</v>
      </c>
      <c r="H64" s="10" t="n">
        <f aca="false">IFERROR(__xludf.dummyfunction("STDEV(FILTER('__flatlist__'!H$2:H1012,('__flatlist__'!$C$2:$C1012=$C64)))"),0.787918984750724)</f>
        <v>0.7879189848</v>
      </c>
      <c r="I64" s="40" t="n">
        <f aca="false">IFERROR(__xludf.dummyfunction("STDEV(FILTER('__flatlist__'!I$2:I1012,('__flatlist__'!$C$2:$C1012=$C64)))"),0.705951377177476)</f>
        <v>0.7059513772</v>
      </c>
      <c r="M64" s="2"/>
      <c r="N64" s="10"/>
    </row>
    <row r="65" customFormat="false" ht="15.75" hidden="false" customHeight="false" outlineLevel="0" collapsed="false">
      <c r="A65" s="31"/>
      <c r="B65" s="32"/>
      <c r="C65" s="33" t="s">
        <v>20</v>
      </c>
      <c r="D65" s="34" t="n">
        <f aca="false">IFERROR(__xludf.dummyfunction("STDEV(FILTER('__flatlist__'!D$2:D1012,('__flatlist__'!$C$2:$C1012=$C65)))"),0.173418894258449)</f>
        <v>0.1734188943</v>
      </c>
      <c r="E65" s="35" t="n">
        <f aca="false">IFERROR(__xludf.dummyfunction("STDEV(FILTER('__flatlist__'!E$2:E1012,('__flatlist__'!$C$2:$C1012=$C65)))"),0.746146563268605)</f>
        <v>0.7461465633</v>
      </c>
      <c r="F65" s="35" t="n">
        <f aca="false">IFERROR(__xludf.dummyfunction("STDEV(FILTER('__flatlist__'!F$2:F1012,('__flatlist__'!$C$2:$C1012=$C65)))"),0.735124590301063)</f>
        <v>0.7351245903</v>
      </c>
      <c r="G65" s="35" t="n">
        <f aca="false">IFERROR(__xludf.dummyfunction("STDEV(FILTER('__flatlist__'!G$2:G1012,('__flatlist__'!$C$2:$C1012=$C65)))"),1.48791046471903)</f>
        <v>1.487910465</v>
      </c>
      <c r="H65" s="35" t="n">
        <f aca="false">IFERROR(__xludf.dummyfunction("STDEV(FILTER('__flatlist__'!H$2:H1012,('__flatlist__'!$C$2:$C1012=$C65)))"),0.953832227578491)</f>
        <v>0.9538322276</v>
      </c>
      <c r="I65" s="43" t="n">
        <f aca="false">IFERROR(__xludf.dummyfunction("STDEV(FILTER('__flatlist__'!I$2:I1012,('__flatlist__'!$C$2:$C1012=$C65)))"),0.97415583549899)</f>
        <v>0.9741558355</v>
      </c>
      <c r="M65" s="2"/>
      <c r="N65" s="10"/>
    </row>
    <row r="66" customFormat="false" ht="15.75" hidden="false" customHeight="false" outlineLevel="0" collapsed="false">
      <c r="M66" s="2"/>
      <c r="N66" s="10"/>
    </row>
    <row r="67" customFormat="false" ht="15.75" hidden="false" customHeight="false" outlineLevel="0" collapsed="false">
      <c r="M67" s="2"/>
      <c r="N67" s="10"/>
    </row>
    <row r="68" customFormat="false" ht="15.75" hidden="false" customHeight="false" outlineLevel="0" collapsed="false">
      <c r="M68" s="2"/>
      <c r="N68" s="10"/>
    </row>
    <row r="69" customFormat="false" ht="15.75" hidden="false" customHeight="false" outlineLevel="0" collapsed="false">
      <c r="M69" s="2"/>
      <c r="N69" s="10"/>
    </row>
    <row r="70" customFormat="false" ht="15.75" hidden="false" customHeight="false" outlineLevel="0" collapsed="false">
      <c r="D70" s="44"/>
      <c r="M70" s="2"/>
      <c r="N70" s="10"/>
    </row>
    <row r="71" customFormat="false" ht="15.75" hidden="false" customHeight="false" outlineLevel="0" collapsed="false">
      <c r="M71" s="2"/>
      <c r="N71" s="10"/>
    </row>
    <row r="72" customFormat="false" ht="15.75" hidden="false" customHeight="false" outlineLevel="0" collapsed="false">
      <c r="M72" s="2"/>
      <c r="N72" s="10"/>
    </row>
    <row r="73" customFormat="false" ht="15.75" hidden="false" customHeight="false" outlineLevel="0" collapsed="false">
      <c r="M73" s="2"/>
      <c r="N73" s="10"/>
    </row>
    <row r="74" customFormat="false" ht="15.75" hidden="false" customHeight="false" outlineLevel="0" collapsed="false">
      <c r="M74" s="2"/>
      <c r="N74" s="10"/>
    </row>
    <row r="75" customFormat="false" ht="15.75" hidden="false" customHeight="false" outlineLevel="0" collapsed="false">
      <c r="M75" s="2"/>
      <c r="N75" s="10"/>
    </row>
    <row r="76" customFormat="false" ht="15.75" hidden="false" customHeight="false" outlineLevel="0" collapsed="false">
      <c r="M76" s="2"/>
      <c r="N76" s="10"/>
    </row>
    <row r="77" customFormat="false" ht="15.75" hidden="false" customHeight="false" outlineLevel="0" collapsed="false">
      <c r="M77" s="2"/>
      <c r="N77" s="10"/>
    </row>
    <row r="78" customFormat="false" ht="15.75" hidden="false" customHeight="false" outlineLevel="0" collapsed="false">
      <c r="M78" s="2"/>
      <c r="N78" s="10"/>
    </row>
    <row r="79" customFormat="false" ht="15.75" hidden="false" customHeight="false" outlineLevel="0" collapsed="false">
      <c r="M79" s="2"/>
      <c r="N79" s="10"/>
    </row>
    <row r="80" customFormat="false" ht="15.75" hidden="false" customHeight="false" outlineLevel="0" collapsed="false">
      <c r="M80" s="2"/>
      <c r="N80" s="10"/>
    </row>
    <row r="81" customFormat="false" ht="15.75" hidden="false" customHeight="false" outlineLevel="0" collapsed="false">
      <c r="M81" s="2"/>
      <c r="N81" s="10"/>
    </row>
    <row r="82" customFormat="false" ht="15.75" hidden="false" customHeight="false" outlineLevel="0" collapsed="false">
      <c r="M82" s="2"/>
      <c r="N82" s="10"/>
    </row>
    <row r="83" customFormat="false" ht="15.75" hidden="false" customHeight="false" outlineLevel="0" collapsed="false">
      <c r="M83" s="2"/>
      <c r="N83" s="10"/>
    </row>
    <row r="84" customFormat="false" ht="15.75" hidden="false" customHeight="false" outlineLevel="0" collapsed="false">
      <c r="M84" s="2"/>
      <c r="N84" s="10"/>
    </row>
    <row r="85" customFormat="false" ht="15.75" hidden="false" customHeight="false" outlineLevel="0" collapsed="false">
      <c r="M85" s="2"/>
      <c r="N85" s="10"/>
    </row>
    <row r="86" customFormat="false" ht="15.75" hidden="false" customHeight="false" outlineLevel="0" collapsed="false">
      <c r="M86" s="2"/>
      <c r="N86" s="10"/>
    </row>
    <row r="87" customFormat="false" ht="15.75" hidden="false" customHeight="false" outlineLevel="0" collapsed="false">
      <c r="M87" s="2"/>
      <c r="N87" s="10"/>
    </row>
    <row r="88" customFormat="false" ht="15.75" hidden="false" customHeight="false" outlineLevel="0" collapsed="false">
      <c r="M88" s="2"/>
      <c r="N88" s="10"/>
    </row>
    <row r="89" customFormat="false" ht="15.75" hidden="false" customHeight="false" outlineLevel="0" collapsed="false">
      <c r="M89" s="2"/>
      <c r="N89" s="10"/>
    </row>
    <row r="90" customFormat="false" ht="15.75" hidden="false" customHeight="false" outlineLevel="0" collapsed="false">
      <c r="M90" s="2"/>
      <c r="N90" s="10"/>
    </row>
    <row r="91" customFormat="false" ht="15.75" hidden="false" customHeight="false" outlineLevel="0" collapsed="false">
      <c r="M91" s="2"/>
      <c r="N91" s="10"/>
    </row>
    <row r="92" customFormat="false" ht="15.75" hidden="false" customHeight="false" outlineLevel="0" collapsed="false">
      <c r="M92" s="2"/>
      <c r="N92" s="10"/>
    </row>
    <row r="93" customFormat="false" ht="15.75" hidden="false" customHeight="false" outlineLevel="0" collapsed="false">
      <c r="M93" s="2"/>
      <c r="N93" s="10"/>
    </row>
    <row r="94" customFormat="false" ht="15.75" hidden="false" customHeight="false" outlineLevel="0" collapsed="false">
      <c r="M94" s="2"/>
      <c r="N94" s="10"/>
    </row>
    <row r="95" customFormat="false" ht="15.75" hidden="false" customHeight="false" outlineLevel="0" collapsed="false">
      <c r="M95" s="2"/>
      <c r="N95" s="10"/>
    </row>
    <row r="96" customFormat="false" ht="15.75" hidden="false" customHeight="false" outlineLevel="0" collapsed="false">
      <c r="M96" s="2"/>
      <c r="N96" s="10"/>
    </row>
    <row r="97" customFormat="false" ht="15.75" hidden="false" customHeight="false" outlineLevel="0" collapsed="false">
      <c r="M97" s="2"/>
      <c r="N97" s="10"/>
    </row>
    <row r="98" customFormat="false" ht="15.75" hidden="false" customHeight="false" outlineLevel="0" collapsed="false">
      <c r="M98" s="2"/>
      <c r="N98" s="10"/>
    </row>
    <row r="99" customFormat="false" ht="15.75" hidden="false" customHeight="false" outlineLevel="0" collapsed="false">
      <c r="M99" s="2"/>
      <c r="N99" s="10"/>
    </row>
    <row r="100" customFormat="false" ht="15.75" hidden="false" customHeight="false" outlineLevel="0" collapsed="false">
      <c r="M100" s="2"/>
      <c r="N100" s="10"/>
    </row>
    <row r="101" customFormat="false" ht="15.75" hidden="false" customHeight="false" outlineLevel="0" collapsed="false">
      <c r="M101" s="2"/>
      <c r="N101" s="10"/>
    </row>
    <row r="102" customFormat="false" ht="15.75" hidden="false" customHeight="false" outlineLevel="0" collapsed="false">
      <c r="M102" s="2"/>
      <c r="N102" s="10"/>
    </row>
    <row r="103" customFormat="false" ht="15.75" hidden="false" customHeight="false" outlineLevel="0" collapsed="false">
      <c r="M103" s="2"/>
      <c r="N103" s="10"/>
    </row>
    <row r="104" customFormat="false" ht="15.75" hidden="false" customHeight="false" outlineLevel="0" collapsed="false">
      <c r="M104" s="2"/>
      <c r="N104" s="10"/>
    </row>
    <row r="105" customFormat="false" ht="15.75" hidden="false" customHeight="false" outlineLevel="0" collapsed="false">
      <c r="M105" s="2"/>
      <c r="N105" s="10"/>
    </row>
    <row r="106" customFormat="false" ht="15.75" hidden="false" customHeight="false" outlineLevel="0" collapsed="false">
      <c r="M106" s="2"/>
      <c r="N106" s="10"/>
    </row>
    <row r="107" customFormat="false" ht="15.75" hidden="false" customHeight="false" outlineLevel="0" collapsed="false">
      <c r="M107" s="2"/>
      <c r="N107" s="10"/>
    </row>
    <row r="108" customFormat="false" ht="15.75" hidden="false" customHeight="false" outlineLevel="0" collapsed="false">
      <c r="M108" s="2"/>
      <c r="N108" s="10"/>
    </row>
    <row r="109" customFormat="false" ht="15.75" hidden="false" customHeight="false" outlineLevel="0" collapsed="false">
      <c r="M109" s="2"/>
      <c r="N109" s="10"/>
    </row>
    <row r="110" customFormat="false" ht="15.75" hidden="false" customHeight="false" outlineLevel="0" collapsed="false">
      <c r="M110" s="2"/>
      <c r="N110" s="10"/>
    </row>
    <row r="111" customFormat="false" ht="15.75" hidden="false" customHeight="false" outlineLevel="0" collapsed="false">
      <c r="M111" s="2"/>
      <c r="N111" s="10"/>
    </row>
    <row r="112" customFormat="false" ht="15.75" hidden="false" customHeight="false" outlineLevel="0" collapsed="false">
      <c r="M112" s="2"/>
      <c r="N112" s="10"/>
    </row>
    <row r="113" customFormat="false" ht="15.75" hidden="false" customHeight="false" outlineLevel="0" collapsed="false">
      <c r="M113" s="2"/>
      <c r="N113" s="10"/>
    </row>
    <row r="114" customFormat="false" ht="15.75" hidden="false" customHeight="false" outlineLevel="0" collapsed="false">
      <c r="M114" s="2"/>
      <c r="N114" s="10"/>
    </row>
    <row r="115" customFormat="false" ht="15.75" hidden="false" customHeight="false" outlineLevel="0" collapsed="false">
      <c r="M115" s="2"/>
      <c r="N115" s="10"/>
    </row>
    <row r="116" customFormat="false" ht="15.75" hidden="false" customHeight="false" outlineLevel="0" collapsed="false">
      <c r="M116" s="2"/>
      <c r="N116" s="10"/>
    </row>
    <row r="117" customFormat="false" ht="15.75" hidden="false" customHeight="false" outlineLevel="0" collapsed="false">
      <c r="M117" s="2"/>
      <c r="N117" s="10"/>
    </row>
    <row r="118" customFormat="false" ht="15.75" hidden="false" customHeight="false" outlineLevel="0" collapsed="false">
      <c r="M118" s="2"/>
      <c r="N118" s="10"/>
    </row>
    <row r="119" customFormat="false" ht="15.75" hidden="false" customHeight="false" outlineLevel="0" collapsed="false">
      <c r="M119" s="2"/>
      <c r="N119" s="10"/>
    </row>
    <row r="120" customFormat="false" ht="15.75" hidden="false" customHeight="false" outlineLevel="0" collapsed="false">
      <c r="M120" s="2"/>
      <c r="N120" s="10"/>
    </row>
    <row r="121" customFormat="false" ht="15.75" hidden="false" customHeight="false" outlineLevel="0" collapsed="false">
      <c r="M121" s="2"/>
      <c r="N121" s="10"/>
    </row>
    <row r="122" customFormat="false" ht="15.75" hidden="false" customHeight="false" outlineLevel="0" collapsed="false">
      <c r="M122" s="2"/>
      <c r="N122" s="10"/>
    </row>
    <row r="123" customFormat="false" ht="15.75" hidden="false" customHeight="false" outlineLevel="0" collapsed="false">
      <c r="M123" s="2"/>
      <c r="N123" s="10"/>
    </row>
    <row r="124" customFormat="false" ht="15.75" hidden="false" customHeight="false" outlineLevel="0" collapsed="false">
      <c r="M124" s="2"/>
      <c r="N124" s="10"/>
    </row>
    <row r="125" customFormat="false" ht="15.75" hidden="false" customHeight="false" outlineLevel="0" collapsed="false">
      <c r="M125" s="2"/>
      <c r="N125" s="10"/>
    </row>
    <row r="126" customFormat="false" ht="15.75" hidden="false" customHeight="false" outlineLevel="0" collapsed="false">
      <c r="M126" s="2"/>
      <c r="N126" s="10"/>
    </row>
    <row r="127" customFormat="false" ht="15.75" hidden="false" customHeight="false" outlineLevel="0" collapsed="false">
      <c r="M127" s="2"/>
      <c r="N127" s="10"/>
    </row>
    <row r="128" customFormat="false" ht="15.75" hidden="false" customHeight="false" outlineLevel="0" collapsed="false">
      <c r="M128" s="2"/>
      <c r="N128" s="10"/>
    </row>
    <row r="129" customFormat="false" ht="15.75" hidden="false" customHeight="false" outlineLevel="0" collapsed="false">
      <c r="M129" s="2"/>
      <c r="N129" s="10"/>
    </row>
    <row r="130" customFormat="false" ht="15.75" hidden="false" customHeight="false" outlineLevel="0" collapsed="false">
      <c r="M130" s="2"/>
      <c r="N130" s="10"/>
    </row>
    <row r="131" customFormat="false" ht="15.75" hidden="false" customHeight="false" outlineLevel="0" collapsed="false">
      <c r="M131" s="2"/>
      <c r="N131" s="10"/>
    </row>
    <row r="132" customFormat="false" ht="15.75" hidden="false" customHeight="false" outlineLevel="0" collapsed="false">
      <c r="M132" s="2"/>
      <c r="N132" s="10"/>
    </row>
    <row r="133" customFormat="false" ht="15.75" hidden="false" customHeight="false" outlineLevel="0" collapsed="false">
      <c r="M133" s="2"/>
      <c r="N133" s="10"/>
    </row>
    <row r="134" customFormat="false" ht="15.75" hidden="false" customHeight="false" outlineLevel="0" collapsed="false">
      <c r="M134" s="2"/>
      <c r="N134" s="10"/>
    </row>
    <row r="135" customFormat="false" ht="15.75" hidden="false" customHeight="false" outlineLevel="0" collapsed="false">
      <c r="M135" s="2"/>
      <c r="N135" s="10"/>
    </row>
    <row r="136" customFormat="false" ht="15.75" hidden="false" customHeight="false" outlineLevel="0" collapsed="false">
      <c r="M136" s="2"/>
      <c r="N136" s="10"/>
    </row>
    <row r="137" customFormat="false" ht="15.75" hidden="false" customHeight="false" outlineLevel="0" collapsed="false">
      <c r="M137" s="2"/>
      <c r="N137" s="10"/>
    </row>
    <row r="138" customFormat="false" ht="15.75" hidden="false" customHeight="false" outlineLevel="0" collapsed="false">
      <c r="M138" s="2"/>
      <c r="N138" s="10"/>
    </row>
    <row r="139" customFormat="false" ht="15.75" hidden="false" customHeight="false" outlineLevel="0" collapsed="false">
      <c r="M139" s="2"/>
      <c r="N139" s="10"/>
    </row>
    <row r="140" customFormat="false" ht="15.75" hidden="false" customHeight="false" outlineLevel="0" collapsed="false">
      <c r="M140" s="2"/>
      <c r="N140" s="10"/>
    </row>
    <row r="141" customFormat="false" ht="15.75" hidden="false" customHeight="false" outlineLevel="0" collapsed="false">
      <c r="M141" s="2"/>
      <c r="N141" s="10"/>
    </row>
    <row r="142" customFormat="false" ht="15.75" hidden="false" customHeight="false" outlineLevel="0" collapsed="false">
      <c r="M142" s="2"/>
      <c r="N142" s="10"/>
    </row>
    <row r="143" customFormat="false" ht="15.75" hidden="false" customHeight="false" outlineLevel="0" collapsed="false">
      <c r="M143" s="2"/>
      <c r="N143" s="10"/>
    </row>
    <row r="144" customFormat="false" ht="15.75" hidden="false" customHeight="false" outlineLevel="0" collapsed="false">
      <c r="M144" s="2"/>
      <c r="N144" s="10"/>
    </row>
    <row r="145" customFormat="false" ht="15.75" hidden="false" customHeight="false" outlineLevel="0" collapsed="false">
      <c r="M145" s="2"/>
      <c r="N145" s="10"/>
    </row>
    <row r="146" customFormat="false" ht="15.75" hidden="false" customHeight="false" outlineLevel="0" collapsed="false">
      <c r="M146" s="2"/>
      <c r="N146" s="10"/>
    </row>
    <row r="147" customFormat="false" ht="15.75" hidden="false" customHeight="false" outlineLevel="0" collapsed="false">
      <c r="M147" s="2"/>
      <c r="N147" s="10"/>
    </row>
    <row r="148" customFormat="false" ht="15.75" hidden="false" customHeight="false" outlineLevel="0" collapsed="false">
      <c r="M148" s="2"/>
      <c r="N148" s="10"/>
    </row>
    <row r="149" customFormat="false" ht="15.75" hidden="false" customHeight="false" outlineLevel="0" collapsed="false">
      <c r="M149" s="2"/>
      <c r="N149" s="10"/>
    </row>
    <row r="150" customFormat="false" ht="15.75" hidden="false" customHeight="false" outlineLevel="0" collapsed="false">
      <c r="M150" s="2"/>
      <c r="N150" s="10"/>
    </row>
    <row r="151" customFormat="false" ht="15.75" hidden="false" customHeight="false" outlineLevel="0" collapsed="false">
      <c r="M151" s="2"/>
      <c r="N151" s="10"/>
    </row>
    <row r="152" customFormat="false" ht="15.75" hidden="false" customHeight="false" outlineLevel="0" collapsed="false">
      <c r="M152" s="2"/>
      <c r="N152" s="10"/>
    </row>
    <row r="153" customFormat="false" ht="15.75" hidden="false" customHeight="false" outlineLevel="0" collapsed="false">
      <c r="M153" s="2"/>
      <c r="N153" s="10"/>
    </row>
    <row r="154" customFormat="false" ht="15.75" hidden="false" customHeight="false" outlineLevel="0" collapsed="false">
      <c r="M154" s="2"/>
      <c r="N154" s="10"/>
    </row>
    <row r="155" customFormat="false" ht="15.75" hidden="false" customHeight="false" outlineLevel="0" collapsed="false">
      <c r="M155" s="2"/>
      <c r="N155" s="10"/>
    </row>
    <row r="156" customFormat="false" ht="15.75" hidden="false" customHeight="false" outlineLevel="0" collapsed="false">
      <c r="M156" s="2"/>
      <c r="N156" s="10"/>
    </row>
    <row r="157" customFormat="false" ht="15.75" hidden="false" customHeight="false" outlineLevel="0" collapsed="false">
      <c r="M157" s="2"/>
      <c r="N157" s="10"/>
    </row>
    <row r="158" customFormat="false" ht="15.75" hidden="false" customHeight="false" outlineLevel="0" collapsed="false">
      <c r="M158" s="2"/>
      <c r="N158" s="10"/>
    </row>
    <row r="159" customFormat="false" ht="15.75" hidden="false" customHeight="false" outlineLevel="0" collapsed="false">
      <c r="M159" s="2"/>
      <c r="N159" s="10"/>
    </row>
    <row r="160" customFormat="false" ht="15.75" hidden="false" customHeight="false" outlineLevel="0" collapsed="false">
      <c r="M160" s="2"/>
      <c r="N160" s="10"/>
    </row>
    <row r="161" customFormat="false" ht="15.75" hidden="false" customHeight="false" outlineLevel="0" collapsed="false">
      <c r="M161" s="2"/>
      <c r="N161" s="10"/>
    </row>
    <row r="162" customFormat="false" ht="15.75" hidden="false" customHeight="false" outlineLevel="0" collapsed="false">
      <c r="M162" s="2"/>
      <c r="N162" s="10"/>
    </row>
    <row r="163" customFormat="false" ht="15.75" hidden="false" customHeight="false" outlineLevel="0" collapsed="false">
      <c r="M163" s="2"/>
      <c r="N163" s="10"/>
    </row>
    <row r="164" customFormat="false" ht="15.75" hidden="false" customHeight="false" outlineLevel="0" collapsed="false">
      <c r="M164" s="2"/>
      <c r="N164" s="10"/>
    </row>
    <row r="165" customFormat="false" ht="15.75" hidden="false" customHeight="false" outlineLevel="0" collapsed="false">
      <c r="M165" s="2"/>
      <c r="N165" s="10"/>
    </row>
    <row r="166" customFormat="false" ht="15.75" hidden="false" customHeight="false" outlineLevel="0" collapsed="false">
      <c r="M166" s="2"/>
      <c r="N166" s="10"/>
    </row>
    <row r="167" customFormat="false" ht="15.75" hidden="false" customHeight="false" outlineLevel="0" collapsed="false">
      <c r="M167" s="2"/>
      <c r="N167" s="10"/>
    </row>
    <row r="168" customFormat="false" ht="15.75" hidden="false" customHeight="false" outlineLevel="0" collapsed="false">
      <c r="M168" s="2"/>
      <c r="N168" s="10"/>
    </row>
    <row r="169" customFormat="false" ht="15.75" hidden="false" customHeight="false" outlineLevel="0" collapsed="false">
      <c r="M169" s="2"/>
      <c r="N169" s="10"/>
    </row>
    <row r="170" customFormat="false" ht="15.75" hidden="false" customHeight="false" outlineLevel="0" collapsed="false">
      <c r="M170" s="2"/>
      <c r="N170" s="10"/>
    </row>
    <row r="171" customFormat="false" ht="15.75" hidden="false" customHeight="false" outlineLevel="0" collapsed="false">
      <c r="M171" s="2"/>
      <c r="N171" s="10"/>
    </row>
    <row r="172" customFormat="false" ht="15.75" hidden="false" customHeight="false" outlineLevel="0" collapsed="false">
      <c r="M172" s="2"/>
      <c r="N172" s="10"/>
    </row>
    <row r="173" customFormat="false" ht="15.75" hidden="false" customHeight="false" outlineLevel="0" collapsed="false">
      <c r="M173" s="2"/>
      <c r="N173" s="10"/>
    </row>
    <row r="174" customFormat="false" ht="15.75" hidden="false" customHeight="false" outlineLevel="0" collapsed="false">
      <c r="M174" s="2"/>
      <c r="N174" s="10"/>
    </row>
    <row r="175" customFormat="false" ht="15.75" hidden="false" customHeight="false" outlineLevel="0" collapsed="false">
      <c r="M175" s="2"/>
      <c r="N175" s="10"/>
    </row>
    <row r="176" customFormat="false" ht="15.75" hidden="false" customHeight="false" outlineLevel="0" collapsed="false">
      <c r="M176" s="2"/>
      <c r="N176" s="10"/>
    </row>
    <row r="177" customFormat="false" ht="15.75" hidden="false" customHeight="false" outlineLevel="0" collapsed="false">
      <c r="M177" s="2"/>
      <c r="N177" s="10"/>
    </row>
    <row r="178" customFormat="false" ht="15.75" hidden="false" customHeight="false" outlineLevel="0" collapsed="false">
      <c r="M178" s="2"/>
      <c r="N178" s="10"/>
    </row>
    <row r="179" customFormat="false" ht="15.75" hidden="false" customHeight="false" outlineLevel="0" collapsed="false">
      <c r="M179" s="2"/>
      <c r="N179" s="10"/>
    </row>
    <row r="180" customFormat="false" ht="15.75" hidden="false" customHeight="false" outlineLevel="0" collapsed="false">
      <c r="M180" s="2"/>
      <c r="N180" s="10"/>
    </row>
    <row r="181" customFormat="false" ht="15.75" hidden="false" customHeight="false" outlineLevel="0" collapsed="false">
      <c r="M181" s="2"/>
      <c r="N181" s="10"/>
    </row>
    <row r="182" customFormat="false" ht="15.75" hidden="false" customHeight="false" outlineLevel="0" collapsed="false">
      <c r="M182" s="2"/>
      <c r="N182" s="10"/>
    </row>
    <row r="183" customFormat="false" ht="15.75" hidden="false" customHeight="false" outlineLevel="0" collapsed="false">
      <c r="M183" s="2"/>
      <c r="N183" s="10"/>
    </row>
    <row r="184" customFormat="false" ht="15.75" hidden="false" customHeight="false" outlineLevel="0" collapsed="false">
      <c r="M184" s="2"/>
      <c r="N184" s="10"/>
    </row>
    <row r="185" customFormat="false" ht="15.75" hidden="false" customHeight="false" outlineLevel="0" collapsed="false">
      <c r="M185" s="2"/>
      <c r="N185" s="10"/>
    </row>
    <row r="186" customFormat="false" ht="15.75" hidden="false" customHeight="false" outlineLevel="0" collapsed="false">
      <c r="M186" s="2"/>
      <c r="N186" s="10"/>
    </row>
    <row r="187" customFormat="false" ht="15.75" hidden="false" customHeight="false" outlineLevel="0" collapsed="false">
      <c r="M187" s="2"/>
      <c r="N187" s="10"/>
    </row>
    <row r="188" customFormat="false" ht="15.75" hidden="false" customHeight="false" outlineLevel="0" collapsed="false">
      <c r="M188" s="2"/>
      <c r="N188" s="10"/>
    </row>
    <row r="189" customFormat="false" ht="15.75" hidden="false" customHeight="false" outlineLevel="0" collapsed="false">
      <c r="M189" s="2"/>
      <c r="N189" s="10"/>
    </row>
    <row r="190" customFormat="false" ht="15.75" hidden="false" customHeight="false" outlineLevel="0" collapsed="false">
      <c r="M190" s="2"/>
      <c r="N190" s="10"/>
    </row>
    <row r="191" customFormat="false" ht="15.75" hidden="false" customHeight="false" outlineLevel="0" collapsed="false">
      <c r="M191" s="2"/>
      <c r="N191" s="10"/>
    </row>
    <row r="192" customFormat="false" ht="15.75" hidden="false" customHeight="false" outlineLevel="0" collapsed="false">
      <c r="M192" s="2"/>
      <c r="N192" s="10"/>
    </row>
    <row r="193" customFormat="false" ht="15.75" hidden="false" customHeight="false" outlineLevel="0" collapsed="false">
      <c r="M193" s="2"/>
      <c r="N193" s="10"/>
    </row>
    <row r="194" customFormat="false" ht="15.75" hidden="false" customHeight="false" outlineLevel="0" collapsed="false">
      <c r="M194" s="2"/>
      <c r="N194" s="10"/>
    </row>
    <row r="195" customFormat="false" ht="15.75" hidden="false" customHeight="false" outlineLevel="0" collapsed="false">
      <c r="M195" s="2"/>
      <c r="N195" s="10"/>
    </row>
    <row r="196" customFormat="false" ht="15.75" hidden="false" customHeight="false" outlineLevel="0" collapsed="false">
      <c r="M196" s="2"/>
      <c r="N196" s="10"/>
    </row>
    <row r="197" customFormat="false" ht="15.75" hidden="false" customHeight="false" outlineLevel="0" collapsed="false">
      <c r="M197" s="2"/>
      <c r="N197" s="10"/>
    </row>
    <row r="198" customFormat="false" ht="15.75" hidden="false" customHeight="false" outlineLevel="0" collapsed="false">
      <c r="M198" s="2"/>
      <c r="N198" s="10"/>
    </row>
    <row r="199" customFormat="false" ht="15.75" hidden="false" customHeight="false" outlineLevel="0" collapsed="false">
      <c r="M199" s="2"/>
      <c r="N199" s="10"/>
    </row>
    <row r="200" customFormat="false" ht="15.75" hidden="false" customHeight="false" outlineLevel="0" collapsed="false">
      <c r="M200" s="2"/>
      <c r="N200" s="10"/>
    </row>
    <row r="201" customFormat="false" ht="15.75" hidden="false" customHeight="false" outlineLevel="0" collapsed="false">
      <c r="M201" s="2"/>
      <c r="N201" s="10"/>
    </row>
    <row r="202" customFormat="false" ht="15.75" hidden="false" customHeight="false" outlineLevel="0" collapsed="false">
      <c r="M202" s="2"/>
      <c r="N202" s="10"/>
    </row>
    <row r="203" customFormat="false" ht="15.75" hidden="false" customHeight="false" outlineLevel="0" collapsed="false">
      <c r="M203" s="2"/>
      <c r="N203" s="10"/>
    </row>
    <row r="204" customFormat="false" ht="15.75" hidden="false" customHeight="false" outlineLevel="0" collapsed="false">
      <c r="M204" s="2"/>
      <c r="N204" s="10"/>
    </row>
    <row r="205" customFormat="false" ht="15.75" hidden="false" customHeight="false" outlineLevel="0" collapsed="false">
      <c r="M205" s="2"/>
      <c r="N205" s="10"/>
    </row>
    <row r="206" customFormat="false" ht="15.75" hidden="false" customHeight="false" outlineLevel="0" collapsed="false">
      <c r="M206" s="2"/>
      <c r="N206" s="10"/>
    </row>
    <row r="207" customFormat="false" ht="15.75" hidden="false" customHeight="false" outlineLevel="0" collapsed="false">
      <c r="M207" s="2"/>
      <c r="N207" s="10"/>
    </row>
    <row r="208" customFormat="false" ht="15.75" hidden="false" customHeight="false" outlineLevel="0" collapsed="false">
      <c r="M208" s="2"/>
      <c r="N208" s="10"/>
    </row>
    <row r="209" customFormat="false" ht="15.75" hidden="false" customHeight="false" outlineLevel="0" collapsed="false">
      <c r="M209" s="2"/>
      <c r="N209" s="10"/>
    </row>
    <row r="210" customFormat="false" ht="15.75" hidden="false" customHeight="false" outlineLevel="0" collapsed="false">
      <c r="M210" s="2"/>
      <c r="N210" s="10"/>
    </row>
    <row r="211" customFormat="false" ht="15.75" hidden="false" customHeight="false" outlineLevel="0" collapsed="false">
      <c r="M211" s="2"/>
      <c r="N211" s="10"/>
    </row>
    <row r="212" customFormat="false" ht="15.75" hidden="false" customHeight="false" outlineLevel="0" collapsed="false">
      <c r="M212" s="2"/>
      <c r="N212" s="10"/>
    </row>
    <row r="213" customFormat="false" ht="15.75" hidden="false" customHeight="false" outlineLevel="0" collapsed="false">
      <c r="M213" s="2"/>
      <c r="N213" s="10"/>
    </row>
    <row r="214" customFormat="false" ht="15.75" hidden="false" customHeight="false" outlineLevel="0" collapsed="false">
      <c r="M214" s="2"/>
      <c r="N214" s="10"/>
    </row>
    <row r="215" customFormat="false" ht="15.75" hidden="false" customHeight="false" outlineLevel="0" collapsed="false">
      <c r="M215" s="2"/>
      <c r="N215" s="10"/>
    </row>
    <row r="216" customFormat="false" ht="15.75" hidden="false" customHeight="false" outlineLevel="0" collapsed="false">
      <c r="M216" s="2"/>
      <c r="N216" s="10"/>
    </row>
    <row r="217" customFormat="false" ht="15.75" hidden="false" customHeight="false" outlineLevel="0" collapsed="false">
      <c r="M217" s="2"/>
      <c r="N217" s="10"/>
    </row>
    <row r="218" customFormat="false" ht="15.75" hidden="false" customHeight="false" outlineLevel="0" collapsed="false">
      <c r="M218" s="2"/>
      <c r="N218" s="10"/>
    </row>
    <row r="219" customFormat="false" ht="15.75" hidden="false" customHeight="false" outlineLevel="0" collapsed="false">
      <c r="M219" s="2"/>
      <c r="N219" s="10"/>
    </row>
    <row r="220" customFormat="false" ht="15.75" hidden="false" customHeight="false" outlineLevel="0" collapsed="false">
      <c r="M220" s="2"/>
      <c r="N220" s="10"/>
    </row>
    <row r="221" customFormat="false" ht="15.75" hidden="false" customHeight="false" outlineLevel="0" collapsed="false">
      <c r="M221" s="2"/>
      <c r="N221" s="10"/>
    </row>
    <row r="222" customFormat="false" ht="15.75" hidden="false" customHeight="false" outlineLevel="0" collapsed="false">
      <c r="M222" s="2"/>
      <c r="N222" s="10"/>
    </row>
    <row r="223" customFormat="false" ht="15.75" hidden="false" customHeight="false" outlineLevel="0" collapsed="false">
      <c r="M223" s="2"/>
      <c r="N223" s="10"/>
    </row>
    <row r="224" customFormat="false" ht="15.75" hidden="false" customHeight="false" outlineLevel="0" collapsed="false">
      <c r="M224" s="2"/>
      <c r="N224" s="10"/>
    </row>
    <row r="225" customFormat="false" ht="15.75" hidden="false" customHeight="false" outlineLevel="0" collapsed="false">
      <c r="M225" s="2"/>
      <c r="N225" s="10"/>
    </row>
    <row r="226" customFormat="false" ht="15.75" hidden="false" customHeight="false" outlineLevel="0" collapsed="false">
      <c r="M226" s="2"/>
      <c r="N226" s="10"/>
    </row>
    <row r="227" customFormat="false" ht="15.75" hidden="false" customHeight="false" outlineLevel="0" collapsed="false">
      <c r="M227" s="2"/>
      <c r="N227" s="10"/>
    </row>
    <row r="228" customFormat="false" ht="15.75" hidden="false" customHeight="false" outlineLevel="0" collapsed="false">
      <c r="M228" s="2"/>
      <c r="N228" s="10"/>
    </row>
    <row r="229" customFormat="false" ht="15.75" hidden="false" customHeight="false" outlineLevel="0" collapsed="false">
      <c r="M229" s="2"/>
      <c r="N229" s="10"/>
    </row>
    <row r="230" customFormat="false" ht="15.75" hidden="false" customHeight="false" outlineLevel="0" collapsed="false">
      <c r="M230" s="2"/>
      <c r="N230" s="10"/>
    </row>
    <row r="231" customFormat="false" ht="15.75" hidden="false" customHeight="false" outlineLevel="0" collapsed="false">
      <c r="M231" s="2"/>
      <c r="N231" s="10"/>
    </row>
    <row r="232" customFormat="false" ht="15.75" hidden="false" customHeight="false" outlineLevel="0" collapsed="false">
      <c r="M232" s="2"/>
      <c r="N232" s="10"/>
    </row>
    <row r="233" customFormat="false" ht="15.75" hidden="false" customHeight="false" outlineLevel="0" collapsed="false">
      <c r="M233" s="2"/>
      <c r="N233" s="10"/>
    </row>
    <row r="234" customFormat="false" ht="15.75" hidden="false" customHeight="false" outlineLevel="0" collapsed="false">
      <c r="M234" s="2"/>
      <c r="N234" s="10"/>
    </row>
    <row r="235" customFormat="false" ht="15.75" hidden="false" customHeight="false" outlineLevel="0" collapsed="false">
      <c r="M235" s="2"/>
      <c r="N235" s="10"/>
    </row>
    <row r="236" customFormat="false" ht="15.75" hidden="false" customHeight="false" outlineLevel="0" collapsed="false">
      <c r="M236" s="2"/>
      <c r="N236" s="10"/>
    </row>
    <row r="237" customFormat="false" ht="15.75" hidden="false" customHeight="false" outlineLevel="0" collapsed="false">
      <c r="M237" s="2"/>
      <c r="N237" s="10"/>
    </row>
    <row r="238" customFormat="false" ht="15.75" hidden="false" customHeight="false" outlineLevel="0" collapsed="false">
      <c r="M238" s="2"/>
      <c r="N238" s="10"/>
    </row>
    <row r="239" customFormat="false" ht="15.75" hidden="false" customHeight="false" outlineLevel="0" collapsed="false">
      <c r="M239" s="2"/>
      <c r="N239" s="10"/>
    </row>
    <row r="240" customFormat="false" ht="15.75" hidden="false" customHeight="false" outlineLevel="0" collapsed="false">
      <c r="M240" s="2"/>
      <c r="N240" s="10"/>
    </row>
    <row r="241" customFormat="false" ht="15.75" hidden="false" customHeight="false" outlineLevel="0" collapsed="false">
      <c r="M241" s="2"/>
      <c r="N241" s="10"/>
    </row>
    <row r="242" customFormat="false" ht="15.75" hidden="false" customHeight="false" outlineLevel="0" collapsed="false">
      <c r="M242" s="2"/>
      <c r="N242" s="10"/>
    </row>
    <row r="243" customFormat="false" ht="15.75" hidden="false" customHeight="false" outlineLevel="0" collapsed="false">
      <c r="M243" s="2"/>
      <c r="N243" s="10"/>
    </row>
    <row r="244" customFormat="false" ht="15.75" hidden="false" customHeight="false" outlineLevel="0" collapsed="false">
      <c r="M244" s="2"/>
      <c r="N244" s="10"/>
    </row>
    <row r="245" customFormat="false" ht="15.75" hidden="false" customHeight="false" outlineLevel="0" collapsed="false">
      <c r="M245" s="2"/>
      <c r="N245" s="10"/>
    </row>
    <row r="246" customFormat="false" ht="15.75" hidden="false" customHeight="false" outlineLevel="0" collapsed="false">
      <c r="M246" s="2"/>
      <c r="N246" s="10"/>
    </row>
    <row r="247" customFormat="false" ht="15.75" hidden="false" customHeight="false" outlineLevel="0" collapsed="false">
      <c r="M247" s="2"/>
      <c r="N247" s="10"/>
    </row>
    <row r="248" customFormat="false" ht="15.75" hidden="false" customHeight="false" outlineLevel="0" collapsed="false">
      <c r="M248" s="2"/>
      <c r="N248" s="10"/>
    </row>
    <row r="249" customFormat="false" ht="15.75" hidden="false" customHeight="false" outlineLevel="0" collapsed="false">
      <c r="M249" s="2"/>
      <c r="N249" s="10"/>
    </row>
    <row r="250" customFormat="false" ht="15.75" hidden="false" customHeight="false" outlineLevel="0" collapsed="false">
      <c r="M250" s="2"/>
      <c r="N250" s="10"/>
    </row>
    <row r="251" customFormat="false" ht="15.75" hidden="false" customHeight="false" outlineLevel="0" collapsed="false">
      <c r="M251" s="2"/>
      <c r="N251" s="10"/>
    </row>
    <row r="252" customFormat="false" ht="15.75" hidden="false" customHeight="false" outlineLevel="0" collapsed="false">
      <c r="M252" s="2"/>
      <c r="N252" s="10"/>
    </row>
    <row r="253" customFormat="false" ht="15.75" hidden="false" customHeight="false" outlineLevel="0" collapsed="false">
      <c r="M253" s="2"/>
      <c r="N253" s="10"/>
    </row>
    <row r="254" customFormat="false" ht="15.75" hidden="false" customHeight="false" outlineLevel="0" collapsed="false">
      <c r="M254" s="2"/>
      <c r="N254" s="10"/>
    </row>
    <row r="255" customFormat="false" ht="15.75" hidden="false" customHeight="false" outlineLevel="0" collapsed="false">
      <c r="M255" s="2"/>
      <c r="N255" s="10"/>
    </row>
    <row r="256" customFormat="false" ht="15.75" hidden="false" customHeight="false" outlineLevel="0" collapsed="false">
      <c r="M256" s="2"/>
      <c r="N256" s="10"/>
    </row>
    <row r="257" customFormat="false" ht="15.75" hidden="false" customHeight="false" outlineLevel="0" collapsed="false">
      <c r="M257" s="2"/>
      <c r="N257" s="10"/>
    </row>
    <row r="258" customFormat="false" ht="15.75" hidden="false" customHeight="false" outlineLevel="0" collapsed="false">
      <c r="M258" s="2"/>
      <c r="N258" s="10"/>
    </row>
    <row r="259" customFormat="false" ht="15.75" hidden="false" customHeight="false" outlineLevel="0" collapsed="false">
      <c r="M259" s="2"/>
      <c r="N259" s="10"/>
    </row>
    <row r="260" customFormat="false" ht="15.75" hidden="false" customHeight="false" outlineLevel="0" collapsed="false">
      <c r="M260" s="2"/>
      <c r="N260" s="10"/>
    </row>
    <row r="261" customFormat="false" ht="15.75" hidden="false" customHeight="false" outlineLevel="0" collapsed="false">
      <c r="M261" s="2"/>
      <c r="N261" s="10"/>
    </row>
    <row r="262" customFormat="false" ht="15.75" hidden="false" customHeight="false" outlineLevel="0" collapsed="false">
      <c r="M262" s="2"/>
      <c r="N262" s="10"/>
    </row>
    <row r="263" customFormat="false" ht="15.75" hidden="false" customHeight="false" outlineLevel="0" collapsed="false">
      <c r="M263" s="2"/>
      <c r="N263" s="10"/>
    </row>
    <row r="264" customFormat="false" ht="15.75" hidden="false" customHeight="false" outlineLevel="0" collapsed="false">
      <c r="M264" s="2"/>
      <c r="N264" s="10"/>
    </row>
    <row r="265" customFormat="false" ht="15.75" hidden="false" customHeight="false" outlineLevel="0" collapsed="false">
      <c r="M265" s="2"/>
      <c r="N265" s="10"/>
    </row>
    <row r="266" customFormat="false" ht="15.75" hidden="false" customHeight="false" outlineLevel="0" collapsed="false">
      <c r="M266" s="2"/>
      <c r="N266" s="10"/>
    </row>
    <row r="267" customFormat="false" ht="15.75" hidden="false" customHeight="false" outlineLevel="0" collapsed="false">
      <c r="M267" s="2"/>
      <c r="N267" s="10"/>
    </row>
    <row r="268" customFormat="false" ht="15.75" hidden="false" customHeight="false" outlineLevel="0" collapsed="false">
      <c r="M268" s="2"/>
      <c r="N268" s="10"/>
    </row>
    <row r="269" customFormat="false" ht="15.75" hidden="false" customHeight="false" outlineLevel="0" collapsed="false">
      <c r="M269" s="2"/>
      <c r="N269" s="10"/>
    </row>
    <row r="270" customFormat="false" ht="15.75" hidden="false" customHeight="false" outlineLevel="0" collapsed="false">
      <c r="M270" s="2"/>
      <c r="N270" s="10"/>
    </row>
    <row r="271" customFormat="false" ht="15.75" hidden="false" customHeight="false" outlineLevel="0" collapsed="false">
      <c r="M271" s="2"/>
      <c r="N271" s="10"/>
    </row>
    <row r="272" customFormat="false" ht="15.75" hidden="false" customHeight="false" outlineLevel="0" collapsed="false">
      <c r="M272" s="2"/>
      <c r="N272" s="10"/>
    </row>
    <row r="273" customFormat="false" ht="15.75" hidden="false" customHeight="false" outlineLevel="0" collapsed="false">
      <c r="M273" s="2"/>
      <c r="N273" s="10"/>
    </row>
    <row r="274" customFormat="false" ht="15.75" hidden="false" customHeight="false" outlineLevel="0" collapsed="false">
      <c r="M274" s="2"/>
      <c r="N274" s="10"/>
    </row>
    <row r="275" customFormat="false" ht="15.75" hidden="false" customHeight="false" outlineLevel="0" collapsed="false">
      <c r="M275" s="2"/>
      <c r="N275" s="10"/>
    </row>
    <row r="276" customFormat="false" ht="15.75" hidden="false" customHeight="false" outlineLevel="0" collapsed="false">
      <c r="M276" s="2"/>
      <c r="N276" s="10"/>
    </row>
    <row r="277" customFormat="false" ht="15.75" hidden="false" customHeight="false" outlineLevel="0" collapsed="false">
      <c r="M277" s="2"/>
      <c r="N277" s="10"/>
    </row>
    <row r="278" customFormat="false" ht="15.75" hidden="false" customHeight="false" outlineLevel="0" collapsed="false">
      <c r="M278" s="2"/>
      <c r="N278" s="10"/>
    </row>
    <row r="279" customFormat="false" ht="15.75" hidden="false" customHeight="false" outlineLevel="0" collapsed="false">
      <c r="M279" s="2"/>
      <c r="N279" s="10"/>
    </row>
    <row r="280" customFormat="false" ht="15.75" hidden="false" customHeight="false" outlineLevel="0" collapsed="false">
      <c r="M280" s="2"/>
      <c r="N280" s="10"/>
    </row>
    <row r="281" customFormat="false" ht="15.75" hidden="false" customHeight="false" outlineLevel="0" collapsed="false">
      <c r="M281" s="2"/>
      <c r="N281" s="10"/>
    </row>
    <row r="282" customFormat="false" ht="15.75" hidden="false" customHeight="false" outlineLevel="0" collapsed="false">
      <c r="M282" s="2"/>
      <c r="N282" s="10"/>
    </row>
    <row r="283" customFormat="false" ht="15.75" hidden="false" customHeight="false" outlineLevel="0" collapsed="false">
      <c r="M283" s="2"/>
      <c r="N283" s="10"/>
    </row>
    <row r="284" customFormat="false" ht="15.75" hidden="false" customHeight="false" outlineLevel="0" collapsed="false">
      <c r="M284" s="2"/>
      <c r="N284" s="10"/>
    </row>
    <row r="285" customFormat="false" ht="15.75" hidden="false" customHeight="false" outlineLevel="0" collapsed="false">
      <c r="M285" s="2"/>
      <c r="N285" s="10"/>
    </row>
    <row r="286" customFormat="false" ht="15.75" hidden="false" customHeight="false" outlineLevel="0" collapsed="false">
      <c r="M286" s="2"/>
      <c r="N286" s="10"/>
    </row>
    <row r="287" customFormat="false" ht="15.75" hidden="false" customHeight="false" outlineLevel="0" collapsed="false">
      <c r="M287" s="2"/>
      <c r="N287" s="10"/>
    </row>
    <row r="288" customFormat="false" ht="15.75" hidden="false" customHeight="false" outlineLevel="0" collapsed="false">
      <c r="M288" s="2"/>
      <c r="N288" s="10"/>
    </row>
    <row r="289" customFormat="false" ht="15.75" hidden="false" customHeight="false" outlineLevel="0" collapsed="false">
      <c r="M289" s="2"/>
      <c r="N289" s="10"/>
    </row>
    <row r="290" customFormat="false" ht="15.75" hidden="false" customHeight="false" outlineLevel="0" collapsed="false">
      <c r="M290" s="2"/>
      <c r="N290" s="10"/>
    </row>
    <row r="291" customFormat="false" ht="15.75" hidden="false" customHeight="false" outlineLevel="0" collapsed="false">
      <c r="M291" s="2"/>
      <c r="N291" s="10"/>
    </row>
    <row r="292" customFormat="false" ht="15.75" hidden="false" customHeight="false" outlineLevel="0" collapsed="false">
      <c r="M292" s="2"/>
      <c r="N292" s="10"/>
    </row>
    <row r="293" customFormat="false" ht="15.75" hidden="false" customHeight="false" outlineLevel="0" collapsed="false">
      <c r="M293" s="2"/>
      <c r="N293" s="10"/>
    </row>
    <row r="294" customFormat="false" ht="15.75" hidden="false" customHeight="false" outlineLevel="0" collapsed="false">
      <c r="M294" s="2"/>
      <c r="N294" s="10"/>
    </row>
    <row r="295" customFormat="false" ht="15.75" hidden="false" customHeight="false" outlineLevel="0" collapsed="false">
      <c r="M295" s="2"/>
      <c r="N295" s="10"/>
    </row>
    <row r="296" customFormat="false" ht="15.75" hidden="false" customHeight="false" outlineLevel="0" collapsed="false">
      <c r="M296" s="2"/>
      <c r="N296" s="10"/>
    </row>
    <row r="297" customFormat="false" ht="15.75" hidden="false" customHeight="false" outlineLevel="0" collapsed="false">
      <c r="M297" s="2"/>
      <c r="N297" s="10"/>
    </row>
    <row r="298" customFormat="false" ht="15.75" hidden="false" customHeight="false" outlineLevel="0" collapsed="false">
      <c r="M298" s="2"/>
      <c r="N298" s="10"/>
    </row>
    <row r="299" customFormat="false" ht="15.75" hidden="false" customHeight="false" outlineLevel="0" collapsed="false">
      <c r="M299" s="2"/>
      <c r="N299" s="10"/>
    </row>
    <row r="300" customFormat="false" ht="15.75" hidden="false" customHeight="false" outlineLevel="0" collapsed="false">
      <c r="M300" s="2"/>
      <c r="N300" s="10"/>
    </row>
    <row r="301" customFormat="false" ht="15.75" hidden="false" customHeight="false" outlineLevel="0" collapsed="false">
      <c r="M301" s="2"/>
      <c r="N301" s="10"/>
    </row>
    <row r="302" customFormat="false" ht="15.75" hidden="false" customHeight="false" outlineLevel="0" collapsed="false">
      <c r="M302" s="2"/>
      <c r="N302" s="10"/>
    </row>
    <row r="303" customFormat="false" ht="15.75" hidden="false" customHeight="false" outlineLevel="0" collapsed="false">
      <c r="M303" s="2"/>
      <c r="N303" s="10"/>
    </row>
    <row r="304" customFormat="false" ht="15.75" hidden="false" customHeight="false" outlineLevel="0" collapsed="false">
      <c r="M304" s="2"/>
      <c r="N304" s="10"/>
    </row>
    <row r="305" customFormat="false" ht="15.75" hidden="false" customHeight="false" outlineLevel="0" collapsed="false">
      <c r="M305" s="2"/>
      <c r="N305" s="10"/>
    </row>
    <row r="306" customFormat="false" ht="15.75" hidden="false" customHeight="false" outlineLevel="0" collapsed="false">
      <c r="M306" s="2"/>
      <c r="N306" s="10"/>
    </row>
    <row r="307" customFormat="false" ht="15.75" hidden="false" customHeight="false" outlineLevel="0" collapsed="false">
      <c r="M307" s="2"/>
      <c r="N307" s="10"/>
    </row>
    <row r="308" customFormat="false" ht="15.75" hidden="false" customHeight="false" outlineLevel="0" collapsed="false">
      <c r="M308" s="2"/>
      <c r="N308" s="10"/>
    </row>
    <row r="309" customFormat="false" ht="15.75" hidden="false" customHeight="false" outlineLevel="0" collapsed="false">
      <c r="M309" s="2"/>
      <c r="N309" s="10"/>
    </row>
    <row r="310" customFormat="false" ht="15.75" hidden="false" customHeight="false" outlineLevel="0" collapsed="false">
      <c r="M310" s="2"/>
      <c r="N310" s="10"/>
    </row>
    <row r="311" customFormat="false" ht="15.75" hidden="false" customHeight="false" outlineLevel="0" collapsed="false">
      <c r="M311" s="2"/>
      <c r="N311" s="10"/>
    </row>
    <row r="312" customFormat="false" ht="15.75" hidden="false" customHeight="false" outlineLevel="0" collapsed="false">
      <c r="M312" s="2"/>
      <c r="N312" s="10"/>
    </row>
    <row r="313" customFormat="false" ht="15.75" hidden="false" customHeight="false" outlineLevel="0" collapsed="false">
      <c r="M313" s="2"/>
      <c r="N313" s="10"/>
    </row>
    <row r="314" customFormat="false" ht="15.75" hidden="false" customHeight="false" outlineLevel="0" collapsed="false">
      <c r="M314" s="2"/>
      <c r="N314" s="10"/>
    </row>
    <row r="315" customFormat="false" ht="15.75" hidden="false" customHeight="false" outlineLevel="0" collapsed="false">
      <c r="M315" s="2"/>
      <c r="N315" s="10"/>
    </row>
    <row r="316" customFormat="false" ht="15.75" hidden="false" customHeight="false" outlineLevel="0" collapsed="false">
      <c r="M316" s="2"/>
      <c r="N316" s="10"/>
    </row>
    <row r="317" customFormat="false" ht="15.75" hidden="false" customHeight="false" outlineLevel="0" collapsed="false">
      <c r="M317" s="2"/>
      <c r="N317" s="10"/>
    </row>
    <row r="318" customFormat="false" ht="15.75" hidden="false" customHeight="false" outlineLevel="0" collapsed="false">
      <c r="M318" s="2"/>
      <c r="N318" s="10"/>
    </row>
    <row r="319" customFormat="false" ht="15.75" hidden="false" customHeight="false" outlineLevel="0" collapsed="false">
      <c r="M319" s="2"/>
      <c r="N319" s="10"/>
    </row>
    <row r="320" customFormat="false" ht="15.75" hidden="false" customHeight="false" outlineLevel="0" collapsed="false">
      <c r="M320" s="2"/>
      <c r="N320" s="10"/>
    </row>
    <row r="321" customFormat="false" ht="15.75" hidden="false" customHeight="false" outlineLevel="0" collapsed="false">
      <c r="M321" s="2"/>
      <c r="N321" s="10"/>
    </row>
    <row r="322" customFormat="false" ht="15.75" hidden="false" customHeight="false" outlineLevel="0" collapsed="false">
      <c r="M322" s="2"/>
      <c r="N322" s="10"/>
    </row>
    <row r="323" customFormat="false" ht="15.75" hidden="false" customHeight="false" outlineLevel="0" collapsed="false">
      <c r="M323" s="2"/>
      <c r="N323" s="10"/>
    </row>
    <row r="324" customFormat="false" ht="15.75" hidden="false" customHeight="false" outlineLevel="0" collapsed="false">
      <c r="M324" s="2"/>
      <c r="N324" s="10"/>
    </row>
    <row r="325" customFormat="false" ht="15.75" hidden="false" customHeight="false" outlineLevel="0" collapsed="false">
      <c r="M325" s="2"/>
      <c r="N325" s="10"/>
    </row>
    <row r="326" customFormat="false" ht="15.75" hidden="false" customHeight="false" outlineLevel="0" collapsed="false">
      <c r="M326" s="2"/>
      <c r="N326" s="10"/>
    </row>
    <row r="327" customFormat="false" ht="15.75" hidden="false" customHeight="false" outlineLevel="0" collapsed="false">
      <c r="M327" s="2"/>
      <c r="N327" s="10"/>
    </row>
    <row r="328" customFormat="false" ht="15.75" hidden="false" customHeight="false" outlineLevel="0" collapsed="false">
      <c r="M328" s="2"/>
      <c r="N328" s="10"/>
    </row>
    <row r="329" customFormat="false" ht="15.75" hidden="false" customHeight="false" outlineLevel="0" collapsed="false">
      <c r="M329" s="2"/>
      <c r="N329" s="10"/>
    </row>
    <row r="330" customFormat="false" ht="15.75" hidden="false" customHeight="false" outlineLevel="0" collapsed="false">
      <c r="M330" s="2"/>
      <c r="N330" s="10"/>
    </row>
    <row r="331" customFormat="false" ht="15.75" hidden="false" customHeight="false" outlineLevel="0" collapsed="false">
      <c r="M331" s="2"/>
      <c r="N331" s="10"/>
    </row>
    <row r="332" customFormat="false" ht="15.75" hidden="false" customHeight="false" outlineLevel="0" collapsed="false">
      <c r="M332" s="2"/>
      <c r="N332" s="10"/>
    </row>
    <row r="333" customFormat="false" ht="15.75" hidden="false" customHeight="false" outlineLevel="0" collapsed="false">
      <c r="M333" s="2"/>
      <c r="N333" s="10"/>
    </row>
    <row r="334" customFormat="false" ht="15.75" hidden="false" customHeight="false" outlineLevel="0" collapsed="false">
      <c r="M334" s="2"/>
      <c r="N334" s="10"/>
    </row>
    <row r="335" customFormat="false" ht="15.75" hidden="false" customHeight="false" outlineLevel="0" collapsed="false">
      <c r="M335" s="2"/>
      <c r="N335" s="10"/>
    </row>
    <row r="336" customFormat="false" ht="15.75" hidden="false" customHeight="false" outlineLevel="0" collapsed="false">
      <c r="M336" s="2"/>
      <c r="N336" s="10"/>
    </row>
    <row r="337" customFormat="false" ht="15.75" hidden="false" customHeight="false" outlineLevel="0" collapsed="false">
      <c r="M337" s="2"/>
      <c r="N337" s="10"/>
    </row>
    <row r="338" customFormat="false" ht="15.75" hidden="false" customHeight="false" outlineLevel="0" collapsed="false">
      <c r="M338" s="2"/>
      <c r="N338" s="10"/>
    </row>
    <row r="339" customFormat="false" ht="15.75" hidden="false" customHeight="false" outlineLevel="0" collapsed="false">
      <c r="M339" s="2"/>
      <c r="N339" s="10"/>
    </row>
    <row r="340" customFormat="false" ht="15.75" hidden="false" customHeight="false" outlineLevel="0" collapsed="false">
      <c r="M340" s="2"/>
      <c r="N340" s="10"/>
    </row>
    <row r="341" customFormat="false" ht="15.75" hidden="false" customHeight="false" outlineLevel="0" collapsed="false">
      <c r="M341" s="2"/>
      <c r="N341" s="10"/>
    </row>
    <row r="342" customFormat="false" ht="15.75" hidden="false" customHeight="false" outlineLevel="0" collapsed="false">
      <c r="M342" s="2"/>
      <c r="N342" s="10"/>
    </row>
    <row r="343" customFormat="false" ht="15.75" hidden="false" customHeight="false" outlineLevel="0" collapsed="false">
      <c r="M343" s="2"/>
      <c r="N343" s="10"/>
    </row>
    <row r="344" customFormat="false" ht="15.75" hidden="false" customHeight="false" outlineLevel="0" collapsed="false">
      <c r="M344" s="2"/>
      <c r="N344" s="10"/>
    </row>
    <row r="345" customFormat="false" ht="15.75" hidden="false" customHeight="false" outlineLevel="0" collapsed="false">
      <c r="M345" s="2"/>
      <c r="N345" s="10"/>
    </row>
    <row r="346" customFormat="false" ht="15.75" hidden="false" customHeight="false" outlineLevel="0" collapsed="false">
      <c r="M346" s="2"/>
      <c r="N346" s="10"/>
    </row>
    <row r="347" customFormat="false" ht="15.75" hidden="false" customHeight="false" outlineLevel="0" collapsed="false">
      <c r="M347" s="2"/>
      <c r="N347" s="10"/>
    </row>
    <row r="348" customFormat="false" ht="15.75" hidden="false" customHeight="false" outlineLevel="0" collapsed="false">
      <c r="M348" s="2"/>
      <c r="N348" s="10"/>
    </row>
    <row r="349" customFormat="false" ht="15.75" hidden="false" customHeight="false" outlineLevel="0" collapsed="false">
      <c r="M349" s="2"/>
      <c r="N349" s="10"/>
    </row>
    <row r="350" customFormat="false" ht="15.75" hidden="false" customHeight="false" outlineLevel="0" collapsed="false">
      <c r="M350" s="2"/>
      <c r="N350" s="10"/>
    </row>
    <row r="351" customFormat="false" ht="15.75" hidden="false" customHeight="false" outlineLevel="0" collapsed="false">
      <c r="M351" s="2"/>
      <c r="N351" s="10"/>
    </row>
    <row r="352" customFormat="false" ht="15.75" hidden="false" customHeight="false" outlineLevel="0" collapsed="false">
      <c r="M352" s="2"/>
      <c r="N352" s="10"/>
    </row>
    <row r="353" customFormat="false" ht="15.75" hidden="false" customHeight="false" outlineLevel="0" collapsed="false">
      <c r="M353" s="2"/>
      <c r="N353" s="10"/>
    </row>
    <row r="354" customFormat="false" ht="15.75" hidden="false" customHeight="false" outlineLevel="0" collapsed="false">
      <c r="M354" s="2"/>
      <c r="N354" s="10"/>
    </row>
    <row r="355" customFormat="false" ht="15.75" hidden="false" customHeight="false" outlineLevel="0" collapsed="false">
      <c r="M355" s="2"/>
      <c r="N355" s="10"/>
    </row>
    <row r="356" customFormat="false" ht="15.75" hidden="false" customHeight="false" outlineLevel="0" collapsed="false">
      <c r="M356" s="2"/>
      <c r="N356" s="10"/>
    </row>
    <row r="357" customFormat="false" ht="15.75" hidden="false" customHeight="false" outlineLevel="0" collapsed="false">
      <c r="M357" s="2"/>
      <c r="N357" s="10"/>
    </row>
    <row r="358" customFormat="false" ht="15.75" hidden="false" customHeight="false" outlineLevel="0" collapsed="false">
      <c r="M358" s="2"/>
      <c r="N358" s="10"/>
    </row>
    <row r="359" customFormat="false" ht="15.75" hidden="false" customHeight="false" outlineLevel="0" collapsed="false">
      <c r="M359" s="2"/>
      <c r="N359" s="10"/>
    </row>
    <row r="360" customFormat="false" ht="15.75" hidden="false" customHeight="false" outlineLevel="0" collapsed="false">
      <c r="M360" s="2"/>
      <c r="N360" s="10"/>
    </row>
    <row r="361" customFormat="false" ht="15.75" hidden="false" customHeight="false" outlineLevel="0" collapsed="false">
      <c r="M361" s="2"/>
      <c r="N361" s="10"/>
    </row>
    <row r="362" customFormat="false" ht="15.75" hidden="false" customHeight="false" outlineLevel="0" collapsed="false">
      <c r="M362" s="2"/>
      <c r="N362" s="10"/>
    </row>
    <row r="363" customFormat="false" ht="15.75" hidden="false" customHeight="false" outlineLevel="0" collapsed="false">
      <c r="M363" s="2"/>
      <c r="N363" s="10"/>
    </row>
    <row r="364" customFormat="false" ht="15.75" hidden="false" customHeight="false" outlineLevel="0" collapsed="false">
      <c r="M364" s="2"/>
      <c r="N364" s="10"/>
    </row>
    <row r="365" customFormat="false" ht="15.75" hidden="false" customHeight="false" outlineLevel="0" collapsed="false">
      <c r="M365" s="2"/>
      <c r="N365" s="10"/>
    </row>
    <row r="366" customFormat="false" ht="15.75" hidden="false" customHeight="false" outlineLevel="0" collapsed="false">
      <c r="M366" s="2"/>
      <c r="N366" s="10"/>
    </row>
    <row r="367" customFormat="false" ht="15.75" hidden="false" customHeight="false" outlineLevel="0" collapsed="false">
      <c r="M367" s="2"/>
      <c r="N367" s="10"/>
    </row>
    <row r="368" customFormat="false" ht="15.75" hidden="false" customHeight="false" outlineLevel="0" collapsed="false">
      <c r="M368" s="2"/>
      <c r="N368" s="10"/>
    </row>
    <row r="369" customFormat="false" ht="15.75" hidden="false" customHeight="false" outlineLevel="0" collapsed="false">
      <c r="M369" s="2"/>
      <c r="N369" s="10"/>
    </row>
    <row r="370" customFormat="false" ht="15.75" hidden="false" customHeight="false" outlineLevel="0" collapsed="false">
      <c r="M370" s="2"/>
      <c r="N370" s="10"/>
    </row>
    <row r="371" customFormat="false" ht="15.75" hidden="false" customHeight="false" outlineLevel="0" collapsed="false">
      <c r="M371" s="2"/>
      <c r="N371" s="10"/>
    </row>
    <row r="372" customFormat="false" ht="15.75" hidden="false" customHeight="false" outlineLevel="0" collapsed="false">
      <c r="M372" s="2"/>
      <c r="N372" s="10"/>
    </row>
    <row r="373" customFormat="false" ht="15.75" hidden="false" customHeight="false" outlineLevel="0" collapsed="false">
      <c r="M373" s="2"/>
      <c r="N373" s="10"/>
    </row>
    <row r="374" customFormat="false" ht="15.75" hidden="false" customHeight="false" outlineLevel="0" collapsed="false">
      <c r="M374" s="2"/>
      <c r="N374" s="10"/>
    </row>
    <row r="375" customFormat="false" ht="15.75" hidden="false" customHeight="false" outlineLevel="0" collapsed="false">
      <c r="M375" s="2"/>
      <c r="N375" s="10"/>
    </row>
    <row r="376" customFormat="false" ht="15.75" hidden="false" customHeight="false" outlineLevel="0" collapsed="false">
      <c r="M376" s="2"/>
      <c r="N376" s="10"/>
    </row>
    <row r="377" customFormat="false" ht="15.75" hidden="false" customHeight="false" outlineLevel="0" collapsed="false">
      <c r="M377" s="2"/>
      <c r="N377" s="10"/>
    </row>
    <row r="378" customFormat="false" ht="15.75" hidden="false" customHeight="false" outlineLevel="0" collapsed="false">
      <c r="M378" s="2"/>
      <c r="N378" s="10"/>
    </row>
    <row r="379" customFormat="false" ht="15.75" hidden="false" customHeight="false" outlineLevel="0" collapsed="false">
      <c r="M379" s="2"/>
      <c r="N379" s="10"/>
    </row>
    <row r="380" customFormat="false" ht="15.75" hidden="false" customHeight="false" outlineLevel="0" collapsed="false">
      <c r="M380" s="2"/>
      <c r="N380" s="10"/>
    </row>
    <row r="381" customFormat="false" ht="15.75" hidden="false" customHeight="false" outlineLevel="0" collapsed="false">
      <c r="M381" s="2"/>
      <c r="N381" s="10"/>
    </row>
    <row r="382" customFormat="false" ht="15.75" hidden="false" customHeight="false" outlineLevel="0" collapsed="false">
      <c r="M382" s="2"/>
      <c r="N382" s="10"/>
    </row>
    <row r="383" customFormat="false" ht="15.75" hidden="false" customHeight="false" outlineLevel="0" collapsed="false">
      <c r="M383" s="2"/>
      <c r="N383" s="10"/>
    </row>
    <row r="384" customFormat="false" ht="15.75" hidden="false" customHeight="false" outlineLevel="0" collapsed="false">
      <c r="M384" s="2"/>
      <c r="N384" s="10"/>
    </row>
    <row r="385" customFormat="false" ht="15.75" hidden="false" customHeight="false" outlineLevel="0" collapsed="false">
      <c r="M385" s="2"/>
      <c r="N385" s="10"/>
    </row>
    <row r="386" customFormat="false" ht="15.75" hidden="false" customHeight="false" outlineLevel="0" collapsed="false">
      <c r="M386" s="2"/>
      <c r="N386" s="10"/>
    </row>
    <row r="387" customFormat="false" ht="15.75" hidden="false" customHeight="false" outlineLevel="0" collapsed="false">
      <c r="M387" s="2"/>
      <c r="N387" s="10"/>
    </row>
    <row r="388" customFormat="false" ht="15.75" hidden="false" customHeight="false" outlineLevel="0" collapsed="false">
      <c r="M388" s="2"/>
      <c r="N388" s="10"/>
    </row>
    <row r="389" customFormat="false" ht="15.75" hidden="false" customHeight="false" outlineLevel="0" collapsed="false">
      <c r="M389" s="2"/>
      <c r="N389" s="10"/>
    </row>
    <row r="390" customFormat="false" ht="15.75" hidden="false" customHeight="false" outlineLevel="0" collapsed="false">
      <c r="M390" s="2"/>
      <c r="N390" s="10"/>
    </row>
    <row r="391" customFormat="false" ht="15.75" hidden="false" customHeight="false" outlineLevel="0" collapsed="false">
      <c r="M391" s="2"/>
      <c r="N391" s="10"/>
    </row>
    <row r="392" customFormat="false" ht="15.75" hidden="false" customHeight="false" outlineLevel="0" collapsed="false">
      <c r="M392" s="2"/>
      <c r="N392" s="10"/>
    </row>
    <row r="393" customFormat="false" ht="15.75" hidden="false" customHeight="false" outlineLevel="0" collapsed="false">
      <c r="M393" s="2"/>
      <c r="N393" s="10"/>
    </row>
    <row r="394" customFormat="false" ht="15.75" hidden="false" customHeight="false" outlineLevel="0" collapsed="false">
      <c r="M394" s="2"/>
      <c r="N394" s="10"/>
    </row>
    <row r="395" customFormat="false" ht="15.75" hidden="false" customHeight="false" outlineLevel="0" collapsed="false">
      <c r="M395" s="2"/>
      <c r="N395" s="10"/>
    </row>
    <row r="396" customFormat="false" ht="15.75" hidden="false" customHeight="false" outlineLevel="0" collapsed="false">
      <c r="M396" s="2"/>
      <c r="N396" s="10"/>
    </row>
    <row r="397" customFormat="false" ht="15.75" hidden="false" customHeight="false" outlineLevel="0" collapsed="false">
      <c r="M397" s="2"/>
      <c r="N397" s="10"/>
    </row>
    <row r="398" customFormat="false" ht="15.75" hidden="false" customHeight="false" outlineLevel="0" collapsed="false">
      <c r="M398" s="2"/>
      <c r="N398" s="10"/>
    </row>
    <row r="399" customFormat="false" ht="15.75" hidden="false" customHeight="false" outlineLevel="0" collapsed="false">
      <c r="M399" s="2"/>
      <c r="N399" s="10"/>
    </row>
    <row r="400" customFormat="false" ht="15.75" hidden="false" customHeight="false" outlineLevel="0" collapsed="false">
      <c r="M400" s="2"/>
      <c r="N400" s="10"/>
    </row>
    <row r="401" customFormat="false" ht="15.75" hidden="false" customHeight="false" outlineLevel="0" collapsed="false">
      <c r="M401" s="2"/>
      <c r="N401" s="10"/>
    </row>
    <row r="402" customFormat="false" ht="15.75" hidden="false" customHeight="false" outlineLevel="0" collapsed="false">
      <c r="M402" s="2"/>
      <c r="N402" s="10"/>
    </row>
    <row r="403" customFormat="false" ht="15.75" hidden="false" customHeight="false" outlineLevel="0" collapsed="false">
      <c r="M403" s="2"/>
      <c r="N403" s="10"/>
    </row>
    <row r="404" customFormat="false" ht="15.75" hidden="false" customHeight="false" outlineLevel="0" collapsed="false">
      <c r="M404" s="2"/>
      <c r="N404" s="10"/>
    </row>
    <row r="405" customFormat="false" ht="15.75" hidden="false" customHeight="false" outlineLevel="0" collapsed="false">
      <c r="M405" s="2"/>
      <c r="N405" s="10"/>
    </row>
    <row r="406" customFormat="false" ht="15.75" hidden="false" customHeight="false" outlineLevel="0" collapsed="false">
      <c r="M406" s="2"/>
      <c r="N406" s="10"/>
    </row>
    <row r="407" customFormat="false" ht="15.75" hidden="false" customHeight="false" outlineLevel="0" collapsed="false">
      <c r="M407" s="2"/>
      <c r="N407" s="10"/>
    </row>
    <row r="408" customFormat="false" ht="15.75" hidden="false" customHeight="false" outlineLevel="0" collapsed="false">
      <c r="M408" s="2"/>
      <c r="N408" s="10"/>
    </row>
    <row r="409" customFormat="false" ht="15.75" hidden="false" customHeight="false" outlineLevel="0" collapsed="false">
      <c r="M409" s="2"/>
      <c r="N409" s="10"/>
    </row>
    <row r="410" customFormat="false" ht="15.75" hidden="false" customHeight="false" outlineLevel="0" collapsed="false">
      <c r="M410" s="2"/>
      <c r="N410" s="10"/>
    </row>
    <row r="411" customFormat="false" ht="15.75" hidden="false" customHeight="false" outlineLevel="0" collapsed="false">
      <c r="M411" s="2"/>
      <c r="N411" s="10"/>
    </row>
    <row r="412" customFormat="false" ht="15.75" hidden="false" customHeight="false" outlineLevel="0" collapsed="false">
      <c r="M412" s="2"/>
      <c r="N412" s="10"/>
    </row>
    <row r="413" customFormat="false" ht="15.75" hidden="false" customHeight="false" outlineLevel="0" collapsed="false">
      <c r="M413" s="2"/>
      <c r="N413" s="10"/>
    </row>
    <row r="414" customFormat="false" ht="15.75" hidden="false" customHeight="false" outlineLevel="0" collapsed="false">
      <c r="M414" s="2"/>
      <c r="N414" s="10"/>
    </row>
    <row r="415" customFormat="false" ht="15.75" hidden="false" customHeight="false" outlineLevel="0" collapsed="false">
      <c r="M415" s="2"/>
      <c r="N415" s="10"/>
    </row>
    <row r="416" customFormat="false" ht="15.75" hidden="false" customHeight="false" outlineLevel="0" collapsed="false">
      <c r="M416" s="2"/>
      <c r="N416" s="10"/>
    </row>
    <row r="417" customFormat="false" ht="15.75" hidden="false" customHeight="false" outlineLevel="0" collapsed="false">
      <c r="M417" s="2"/>
      <c r="N417" s="10"/>
    </row>
    <row r="418" customFormat="false" ht="15.75" hidden="false" customHeight="false" outlineLevel="0" collapsed="false">
      <c r="M418" s="2"/>
      <c r="N418" s="10"/>
    </row>
    <row r="419" customFormat="false" ht="15.75" hidden="false" customHeight="false" outlineLevel="0" collapsed="false">
      <c r="M419" s="2"/>
      <c r="N419" s="10"/>
    </row>
    <row r="420" customFormat="false" ht="15.75" hidden="false" customHeight="false" outlineLevel="0" collapsed="false">
      <c r="M420" s="2"/>
      <c r="N420" s="10"/>
    </row>
    <row r="421" customFormat="false" ht="15.75" hidden="false" customHeight="false" outlineLevel="0" collapsed="false">
      <c r="M421" s="2"/>
      <c r="N421" s="10"/>
    </row>
    <row r="422" customFormat="false" ht="15.75" hidden="false" customHeight="false" outlineLevel="0" collapsed="false">
      <c r="M422" s="2"/>
      <c r="N422" s="10"/>
    </row>
    <row r="423" customFormat="false" ht="15.75" hidden="false" customHeight="false" outlineLevel="0" collapsed="false">
      <c r="M423" s="2"/>
      <c r="N423" s="10"/>
    </row>
    <row r="424" customFormat="false" ht="15.75" hidden="false" customHeight="false" outlineLevel="0" collapsed="false">
      <c r="M424" s="2"/>
      <c r="N424" s="10"/>
    </row>
    <row r="425" customFormat="false" ht="15.75" hidden="false" customHeight="false" outlineLevel="0" collapsed="false">
      <c r="M425" s="2"/>
      <c r="N425" s="10"/>
    </row>
    <row r="426" customFormat="false" ht="15.75" hidden="false" customHeight="false" outlineLevel="0" collapsed="false">
      <c r="M426" s="2"/>
      <c r="N426" s="10"/>
    </row>
    <row r="427" customFormat="false" ht="15.75" hidden="false" customHeight="false" outlineLevel="0" collapsed="false">
      <c r="M427" s="2"/>
      <c r="N427" s="10"/>
    </row>
    <row r="428" customFormat="false" ht="15.75" hidden="false" customHeight="false" outlineLevel="0" collapsed="false">
      <c r="M428" s="2"/>
      <c r="N428" s="10"/>
    </row>
    <row r="429" customFormat="false" ht="15.75" hidden="false" customHeight="false" outlineLevel="0" collapsed="false">
      <c r="M429" s="2"/>
      <c r="N429" s="10"/>
    </row>
    <row r="430" customFormat="false" ht="15.75" hidden="false" customHeight="false" outlineLevel="0" collapsed="false">
      <c r="M430" s="2"/>
      <c r="N430" s="10"/>
    </row>
    <row r="431" customFormat="false" ht="15.75" hidden="false" customHeight="false" outlineLevel="0" collapsed="false">
      <c r="M431" s="2"/>
      <c r="N431" s="10"/>
    </row>
    <row r="432" customFormat="false" ht="15.75" hidden="false" customHeight="false" outlineLevel="0" collapsed="false">
      <c r="M432" s="2"/>
      <c r="N432" s="10"/>
    </row>
    <row r="433" customFormat="false" ht="15.75" hidden="false" customHeight="false" outlineLevel="0" collapsed="false">
      <c r="M433" s="2"/>
      <c r="N433" s="10"/>
    </row>
    <row r="434" customFormat="false" ht="15.75" hidden="false" customHeight="false" outlineLevel="0" collapsed="false">
      <c r="M434" s="2"/>
      <c r="N434" s="10"/>
    </row>
    <row r="435" customFormat="false" ht="15.75" hidden="false" customHeight="false" outlineLevel="0" collapsed="false">
      <c r="M435" s="2"/>
      <c r="N435" s="10"/>
    </row>
    <row r="436" customFormat="false" ht="15.75" hidden="false" customHeight="false" outlineLevel="0" collapsed="false">
      <c r="M436" s="2"/>
      <c r="N436" s="10"/>
    </row>
    <row r="437" customFormat="false" ht="15.75" hidden="false" customHeight="false" outlineLevel="0" collapsed="false">
      <c r="M437" s="2"/>
      <c r="N437" s="10"/>
    </row>
    <row r="438" customFormat="false" ht="15.75" hidden="false" customHeight="false" outlineLevel="0" collapsed="false">
      <c r="M438" s="2"/>
      <c r="N438" s="10"/>
    </row>
    <row r="439" customFormat="false" ht="15.75" hidden="false" customHeight="false" outlineLevel="0" collapsed="false">
      <c r="M439" s="2"/>
      <c r="N439" s="10"/>
    </row>
    <row r="440" customFormat="false" ht="15.75" hidden="false" customHeight="false" outlineLevel="0" collapsed="false">
      <c r="M440" s="2"/>
      <c r="N440" s="10"/>
    </row>
    <row r="441" customFormat="false" ht="15.75" hidden="false" customHeight="false" outlineLevel="0" collapsed="false">
      <c r="M441" s="2"/>
      <c r="N441" s="10"/>
    </row>
    <row r="442" customFormat="false" ht="15.75" hidden="false" customHeight="false" outlineLevel="0" collapsed="false">
      <c r="M442" s="2"/>
      <c r="N442" s="10"/>
    </row>
    <row r="443" customFormat="false" ht="15.75" hidden="false" customHeight="false" outlineLevel="0" collapsed="false">
      <c r="M443" s="2"/>
      <c r="N443" s="10"/>
    </row>
    <row r="444" customFormat="false" ht="15.75" hidden="false" customHeight="false" outlineLevel="0" collapsed="false">
      <c r="M444" s="2"/>
      <c r="N444" s="10"/>
    </row>
    <row r="445" customFormat="false" ht="15.75" hidden="false" customHeight="false" outlineLevel="0" collapsed="false">
      <c r="M445" s="2"/>
      <c r="N445" s="10"/>
    </row>
    <row r="446" customFormat="false" ht="15.75" hidden="false" customHeight="false" outlineLevel="0" collapsed="false">
      <c r="M446" s="2"/>
      <c r="N446" s="10"/>
    </row>
    <row r="447" customFormat="false" ht="15.75" hidden="false" customHeight="false" outlineLevel="0" collapsed="false">
      <c r="M447" s="2"/>
      <c r="N447" s="10"/>
    </row>
    <row r="448" customFormat="false" ht="15.75" hidden="false" customHeight="false" outlineLevel="0" collapsed="false">
      <c r="M448" s="2"/>
      <c r="N448" s="10"/>
    </row>
    <row r="449" customFormat="false" ht="15.75" hidden="false" customHeight="false" outlineLevel="0" collapsed="false">
      <c r="M449" s="2"/>
      <c r="N449" s="10"/>
    </row>
    <row r="450" customFormat="false" ht="15.75" hidden="false" customHeight="false" outlineLevel="0" collapsed="false">
      <c r="M450" s="2"/>
      <c r="N450" s="10"/>
    </row>
    <row r="451" customFormat="false" ht="15.75" hidden="false" customHeight="false" outlineLevel="0" collapsed="false">
      <c r="M451" s="2"/>
      <c r="N451" s="10"/>
    </row>
    <row r="452" customFormat="false" ht="15.75" hidden="false" customHeight="false" outlineLevel="0" collapsed="false">
      <c r="M452" s="2"/>
      <c r="N452" s="10"/>
    </row>
    <row r="453" customFormat="false" ht="15.75" hidden="false" customHeight="false" outlineLevel="0" collapsed="false">
      <c r="M453" s="2"/>
      <c r="N453" s="10"/>
    </row>
    <row r="454" customFormat="false" ht="15.75" hidden="false" customHeight="false" outlineLevel="0" collapsed="false">
      <c r="M454" s="2"/>
      <c r="N454" s="10"/>
    </row>
    <row r="455" customFormat="false" ht="15.75" hidden="false" customHeight="false" outlineLevel="0" collapsed="false">
      <c r="M455" s="2"/>
      <c r="N455" s="10"/>
    </row>
    <row r="456" customFormat="false" ht="15.75" hidden="false" customHeight="false" outlineLevel="0" collapsed="false">
      <c r="M456" s="2"/>
      <c r="N456" s="10"/>
    </row>
    <row r="457" customFormat="false" ht="15.75" hidden="false" customHeight="false" outlineLevel="0" collapsed="false">
      <c r="M457" s="2"/>
      <c r="N457" s="10"/>
    </row>
    <row r="458" customFormat="false" ht="15.75" hidden="false" customHeight="false" outlineLevel="0" collapsed="false">
      <c r="M458" s="2"/>
      <c r="N458" s="10"/>
    </row>
    <row r="459" customFormat="false" ht="15.75" hidden="false" customHeight="false" outlineLevel="0" collapsed="false">
      <c r="M459" s="2"/>
      <c r="N459" s="10"/>
    </row>
    <row r="460" customFormat="false" ht="15.75" hidden="false" customHeight="false" outlineLevel="0" collapsed="false">
      <c r="M460" s="2"/>
      <c r="N460" s="10"/>
    </row>
    <row r="461" customFormat="false" ht="15.75" hidden="false" customHeight="false" outlineLevel="0" collapsed="false">
      <c r="M461" s="2"/>
      <c r="N461" s="10"/>
    </row>
    <row r="462" customFormat="false" ht="15.75" hidden="false" customHeight="false" outlineLevel="0" collapsed="false">
      <c r="M462" s="2"/>
      <c r="N462" s="10"/>
    </row>
    <row r="463" customFormat="false" ht="15.75" hidden="false" customHeight="false" outlineLevel="0" collapsed="false">
      <c r="M463" s="2"/>
      <c r="N463" s="10"/>
    </row>
    <row r="464" customFormat="false" ht="15.75" hidden="false" customHeight="false" outlineLevel="0" collapsed="false">
      <c r="M464" s="2"/>
      <c r="N464" s="10"/>
    </row>
    <row r="465" customFormat="false" ht="15.75" hidden="false" customHeight="false" outlineLevel="0" collapsed="false">
      <c r="M465" s="2"/>
      <c r="N465" s="10"/>
    </row>
    <row r="466" customFormat="false" ht="15.75" hidden="false" customHeight="false" outlineLevel="0" collapsed="false">
      <c r="M466" s="2"/>
      <c r="N466" s="10"/>
    </row>
    <row r="467" customFormat="false" ht="15.75" hidden="false" customHeight="false" outlineLevel="0" collapsed="false">
      <c r="M467" s="2"/>
      <c r="N467" s="10"/>
    </row>
    <row r="468" customFormat="false" ht="15.75" hidden="false" customHeight="false" outlineLevel="0" collapsed="false">
      <c r="M468" s="2"/>
      <c r="N468" s="10"/>
    </row>
    <row r="469" customFormat="false" ht="15.75" hidden="false" customHeight="false" outlineLevel="0" collapsed="false">
      <c r="M469" s="2"/>
      <c r="N469" s="10"/>
    </row>
    <row r="470" customFormat="false" ht="15.75" hidden="false" customHeight="false" outlineLevel="0" collapsed="false">
      <c r="M470" s="2"/>
      <c r="N470" s="10"/>
    </row>
    <row r="471" customFormat="false" ht="15.75" hidden="false" customHeight="false" outlineLevel="0" collapsed="false">
      <c r="M471" s="2"/>
      <c r="N471" s="10"/>
    </row>
    <row r="472" customFormat="false" ht="15.75" hidden="false" customHeight="false" outlineLevel="0" collapsed="false">
      <c r="M472" s="2"/>
      <c r="N472" s="10"/>
    </row>
    <row r="473" customFormat="false" ht="15.75" hidden="false" customHeight="false" outlineLevel="0" collapsed="false">
      <c r="M473" s="2"/>
      <c r="N473" s="10"/>
    </row>
    <row r="474" customFormat="false" ht="15.75" hidden="false" customHeight="false" outlineLevel="0" collapsed="false">
      <c r="M474" s="2"/>
      <c r="N474" s="10"/>
    </row>
    <row r="475" customFormat="false" ht="15.75" hidden="false" customHeight="false" outlineLevel="0" collapsed="false">
      <c r="M475" s="2"/>
      <c r="N475" s="10"/>
    </row>
    <row r="476" customFormat="false" ht="15.75" hidden="false" customHeight="false" outlineLevel="0" collapsed="false">
      <c r="M476" s="2"/>
      <c r="N476" s="10"/>
    </row>
    <row r="477" customFormat="false" ht="15.75" hidden="false" customHeight="false" outlineLevel="0" collapsed="false">
      <c r="M477" s="2"/>
      <c r="N477" s="10"/>
    </row>
    <row r="478" customFormat="false" ht="15.75" hidden="false" customHeight="false" outlineLevel="0" collapsed="false">
      <c r="M478" s="2"/>
      <c r="N478" s="10"/>
    </row>
    <row r="479" customFormat="false" ht="15.75" hidden="false" customHeight="false" outlineLevel="0" collapsed="false">
      <c r="M479" s="2"/>
      <c r="N479" s="10"/>
    </row>
    <row r="480" customFormat="false" ht="15.75" hidden="false" customHeight="false" outlineLevel="0" collapsed="false">
      <c r="M480" s="2"/>
      <c r="N480" s="10"/>
    </row>
    <row r="481" customFormat="false" ht="15.75" hidden="false" customHeight="false" outlineLevel="0" collapsed="false">
      <c r="M481" s="2"/>
      <c r="N481" s="10"/>
    </row>
    <row r="482" customFormat="false" ht="15.75" hidden="false" customHeight="false" outlineLevel="0" collapsed="false">
      <c r="M482" s="2"/>
      <c r="N482" s="10"/>
    </row>
    <row r="483" customFormat="false" ht="15.75" hidden="false" customHeight="false" outlineLevel="0" collapsed="false">
      <c r="M483" s="2"/>
      <c r="N483" s="10"/>
    </row>
    <row r="484" customFormat="false" ht="15.75" hidden="false" customHeight="false" outlineLevel="0" collapsed="false">
      <c r="M484" s="2"/>
      <c r="N484" s="10"/>
    </row>
    <row r="485" customFormat="false" ht="15.75" hidden="false" customHeight="false" outlineLevel="0" collapsed="false">
      <c r="M485" s="2"/>
      <c r="N485" s="10"/>
    </row>
    <row r="486" customFormat="false" ht="15.75" hidden="false" customHeight="false" outlineLevel="0" collapsed="false">
      <c r="M486" s="2"/>
      <c r="N486" s="10"/>
    </row>
    <row r="487" customFormat="false" ht="15.75" hidden="false" customHeight="false" outlineLevel="0" collapsed="false">
      <c r="M487" s="2"/>
      <c r="N487" s="10"/>
    </row>
    <row r="488" customFormat="false" ht="15.75" hidden="false" customHeight="false" outlineLevel="0" collapsed="false">
      <c r="M488" s="2"/>
      <c r="N488" s="10"/>
    </row>
    <row r="489" customFormat="false" ht="15.75" hidden="false" customHeight="false" outlineLevel="0" collapsed="false">
      <c r="M489" s="2"/>
      <c r="N489" s="10"/>
    </row>
    <row r="490" customFormat="false" ht="15.75" hidden="false" customHeight="false" outlineLevel="0" collapsed="false">
      <c r="M490" s="2"/>
      <c r="N490" s="10"/>
    </row>
    <row r="491" customFormat="false" ht="15.75" hidden="false" customHeight="false" outlineLevel="0" collapsed="false">
      <c r="M491" s="2"/>
      <c r="N491" s="10"/>
    </row>
    <row r="492" customFormat="false" ht="15.75" hidden="false" customHeight="false" outlineLevel="0" collapsed="false">
      <c r="M492" s="2"/>
      <c r="N492" s="10"/>
    </row>
    <row r="493" customFormat="false" ht="15.75" hidden="false" customHeight="false" outlineLevel="0" collapsed="false">
      <c r="M493" s="2"/>
      <c r="N493" s="10"/>
    </row>
    <row r="494" customFormat="false" ht="15.75" hidden="false" customHeight="false" outlineLevel="0" collapsed="false">
      <c r="M494" s="2"/>
      <c r="N494" s="10"/>
    </row>
    <row r="495" customFormat="false" ht="15.75" hidden="false" customHeight="false" outlineLevel="0" collapsed="false">
      <c r="M495" s="2"/>
      <c r="N495" s="10"/>
    </row>
    <row r="496" customFormat="false" ht="15.75" hidden="false" customHeight="false" outlineLevel="0" collapsed="false">
      <c r="M496" s="2"/>
      <c r="N496" s="10"/>
    </row>
    <row r="497" customFormat="false" ht="15.75" hidden="false" customHeight="false" outlineLevel="0" collapsed="false">
      <c r="M497" s="2"/>
      <c r="N497" s="10"/>
    </row>
    <row r="498" customFormat="false" ht="15.75" hidden="false" customHeight="false" outlineLevel="0" collapsed="false">
      <c r="M498" s="2"/>
      <c r="N498" s="10"/>
    </row>
    <row r="499" customFormat="false" ht="15.75" hidden="false" customHeight="false" outlineLevel="0" collapsed="false">
      <c r="M499" s="2"/>
      <c r="N499" s="10"/>
    </row>
    <row r="500" customFormat="false" ht="15.75" hidden="false" customHeight="false" outlineLevel="0" collapsed="false">
      <c r="M500" s="2"/>
      <c r="N500" s="10"/>
    </row>
    <row r="501" customFormat="false" ht="15.75" hidden="false" customHeight="false" outlineLevel="0" collapsed="false">
      <c r="M501" s="2"/>
      <c r="N501" s="10"/>
    </row>
    <row r="502" customFormat="false" ht="15.75" hidden="false" customHeight="false" outlineLevel="0" collapsed="false">
      <c r="M502" s="2"/>
      <c r="N502" s="10"/>
    </row>
    <row r="503" customFormat="false" ht="15.75" hidden="false" customHeight="false" outlineLevel="0" collapsed="false">
      <c r="M503" s="2"/>
      <c r="N503" s="10"/>
    </row>
    <row r="504" customFormat="false" ht="15.75" hidden="false" customHeight="false" outlineLevel="0" collapsed="false">
      <c r="M504" s="2"/>
      <c r="N504" s="10"/>
    </row>
    <row r="505" customFormat="false" ht="15.75" hidden="false" customHeight="false" outlineLevel="0" collapsed="false">
      <c r="M505" s="2"/>
      <c r="N505" s="10"/>
    </row>
    <row r="506" customFormat="false" ht="15.75" hidden="false" customHeight="false" outlineLevel="0" collapsed="false">
      <c r="M506" s="2"/>
      <c r="N506" s="10"/>
    </row>
    <row r="507" customFormat="false" ht="15.75" hidden="false" customHeight="false" outlineLevel="0" collapsed="false">
      <c r="M507" s="2"/>
      <c r="N507" s="10"/>
    </row>
    <row r="508" customFormat="false" ht="15.75" hidden="false" customHeight="false" outlineLevel="0" collapsed="false">
      <c r="M508" s="2"/>
      <c r="N508" s="10"/>
    </row>
    <row r="509" customFormat="false" ht="15.75" hidden="false" customHeight="false" outlineLevel="0" collapsed="false">
      <c r="M509" s="2"/>
      <c r="N509" s="10"/>
    </row>
    <row r="510" customFormat="false" ht="15.75" hidden="false" customHeight="false" outlineLevel="0" collapsed="false">
      <c r="M510" s="2"/>
      <c r="N510" s="10"/>
    </row>
    <row r="511" customFormat="false" ht="15.75" hidden="false" customHeight="false" outlineLevel="0" collapsed="false">
      <c r="M511" s="2"/>
      <c r="N511" s="10"/>
    </row>
    <row r="512" customFormat="false" ht="15.75" hidden="false" customHeight="false" outlineLevel="0" collapsed="false">
      <c r="M512" s="2"/>
      <c r="N512" s="10"/>
    </row>
    <row r="513" customFormat="false" ht="15.75" hidden="false" customHeight="false" outlineLevel="0" collapsed="false">
      <c r="M513" s="2"/>
      <c r="N513" s="10"/>
    </row>
    <row r="514" customFormat="false" ht="15.75" hidden="false" customHeight="false" outlineLevel="0" collapsed="false">
      <c r="M514" s="2"/>
      <c r="N514" s="10"/>
    </row>
    <row r="515" customFormat="false" ht="15.75" hidden="false" customHeight="false" outlineLevel="0" collapsed="false">
      <c r="M515" s="2"/>
      <c r="N515" s="10"/>
    </row>
    <row r="516" customFormat="false" ht="15.75" hidden="false" customHeight="false" outlineLevel="0" collapsed="false">
      <c r="M516" s="2"/>
      <c r="N516" s="10"/>
    </row>
    <row r="517" customFormat="false" ht="15.75" hidden="false" customHeight="false" outlineLevel="0" collapsed="false">
      <c r="M517" s="2"/>
      <c r="N517" s="10"/>
    </row>
    <row r="518" customFormat="false" ht="15.75" hidden="false" customHeight="false" outlineLevel="0" collapsed="false">
      <c r="M518" s="2"/>
      <c r="N518" s="10"/>
    </row>
    <row r="519" customFormat="false" ht="15.75" hidden="false" customHeight="false" outlineLevel="0" collapsed="false">
      <c r="M519" s="2"/>
      <c r="N519" s="10"/>
    </row>
    <row r="520" customFormat="false" ht="15.75" hidden="false" customHeight="false" outlineLevel="0" collapsed="false">
      <c r="M520" s="2"/>
      <c r="N520" s="10"/>
    </row>
    <row r="521" customFormat="false" ht="15.75" hidden="false" customHeight="false" outlineLevel="0" collapsed="false">
      <c r="M521" s="2"/>
      <c r="N521" s="10"/>
    </row>
    <row r="522" customFormat="false" ht="15.75" hidden="false" customHeight="false" outlineLevel="0" collapsed="false">
      <c r="M522" s="2"/>
      <c r="N522" s="10"/>
    </row>
    <row r="523" customFormat="false" ht="15.75" hidden="false" customHeight="false" outlineLevel="0" collapsed="false">
      <c r="M523" s="2"/>
      <c r="N523" s="10"/>
    </row>
    <row r="524" customFormat="false" ht="15.75" hidden="false" customHeight="false" outlineLevel="0" collapsed="false">
      <c r="M524" s="2"/>
      <c r="N524" s="10"/>
    </row>
    <row r="525" customFormat="false" ht="15.75" hidden="false" customHeight="false" outlineLevel="0" collapsed="false">
      <c r="M525" s="2"/>
      <c r="N525" s="10"/>
    </row>
    <row r="526" customFormat="false" ht="15.75" hidden="false" customHeight="false" outlineLevel="0" collapsed="false">
      <c r="M526" s="2"/>
      <c r="N526" s="10"/>
    </row>
    <row r="527" customFormat="false" ht="15.75" hidden="false" customHeight="false" outlineLevel="0" collapsed="false">
      <c r="M527" s="2"/>
      <c r="N527" s="10"/>
    </row>
    <row r="528" customFormat="false" ht="15.75" hidden="false" customHeight="false" outlineLevel="0" collapsed="false">
      <c r="M528" s="2"/>
      <c r="N528" s="10"/>
    </row>
    <row r="529" customFormat="false" ht="15.75" hidden="false" customHeight="false" outlineLevel="0" collapsed="false">
      <c r="M529" s="2"/>
      <c r="N529" s="10"/>
    </row>
    <row r="530" customFormat="false" ht="15.75" hidden="false" customHeight="false" outlineLevel="0" collapsed="false">
      <c r="M530" s="2"/>
      <c r="N530" s="10"/>
    </row>
    <row r="531" customFormat="false" ht="15.75" hidden="false" customHeight="false" outlineLevel="0" collapsed="false">
      <c r="M531" s="2"/>
      <c r="N531" s="10"/>
    </row>
    <row r="532" customFormat="false" ht="15.75" hidden="false" customHeight="false" outlineLevel="0" collapsed="false">
      <c r="M532" s="2"/>
      <c r="N532" s="10"/>
    </row>
    <row r="533" customFormat="false" ht="15.75" hidden="false" customHeight="false" outlineLevel="0" collapsed="false">
      <c r="M533" s="2"/>
      <c r="N533" s="10"/>
    </row>
    <row r="534" customFormat="false" ht="15.75" hidden="false" customHeight="false" outlineLevel="0" collapsed="false">
      <c r="M534" s="2"/>
      <c r="N534" s="10"/>
    </row>
    <row r="535" customFormat="false" ht="15.75" hidden="false" customHeight="false" outlineLevel="0" collapsed="false">
      <c r="M535" s="2"/>
      <c r="N535" s="10"/>
    </row>
    <row r="536" customFormat="false" ht="15.75" hidden="false" customHeight="false" outlineLevel="0" collapsed="false">
      <c r="M536" s="2"/>
      <c r="N536" s="10"/>
    </row>
    <row r="537" customFormat="false" ht="15.75" hidden="false" customHeight="false" outlineLevel="0" collapsed="false">
      <c r="M537" s="2"/>
      <c r="N537" s="10"/>
    </row>
    <row r="538" customFormat="false" ht="15.75" hidden="false" customHeight="false" outlineLevel="0" collapsed="false">
      <c r="M538" s="2"/>
      <c r="N538" s="10"/>
    </row>
    <row r="539" customFormat="false" ht="15.75" hidden="false" customHeight="false" outlineLevel="0" collapsed="false">
      <c r="M539" s="2"/>
      <c r="N539" s="10"/>
    </row>
    <row r="540" customFormat="false" ht="15.75" hidden="false" customHeight="false" outlineLevel="0" collapsed="false">
      <c r="M540" s="2"/>
      <c r="N540" s="10"/>
    </row>
    <row r="541" customFormat="false" ht="15.75" hidden="false" customHeight="false" outlineLevel="0" collapsed="false">
      <c r="M541" s="2"/>
      <c r="N541" s="10"/>
    </row>
    <row r="542" customFormat="false" ht="15.75" hidden="false" customHeight="false" outlineLevel="0" collapsed="false">
      <c r="M542" s="2"/>
      <c r="N542" s="10"/>
    </row>
    <row r="543" customFormat="false" ht="15.75" hidden="false" customHeight="false" outlineLevel="0" collapsed="false">
      <c r="M543" s="2"/>
      <c r="N543" s="10"/>
    </row>
    <row r="544" customFormat="false" ht="15.75" hidden="false" customHeight="false" outlineLevel="0" collapsed="false">
      <c r="M544" s="2"/>
      <c r="N544" s="10"/>
    </row>
    <row r="545" customFormat="false" ht="15.75" hidden="false" customHeight="false" outlineLevel="0" collapsed="false">
      <c r="M545" s="2"/>
      <c r="N545" s="10"/>
    </row>
    <row r="546" customFormat="false" ht="15.75" hidden="false" customHeight="false" outlineLevel="0" collapsed="false">
      <c r="M546" s="2"/>
      <c r="N546" s="10"/>
    </row>
    <row r="547" customFormat="false" ht="15.75" hidden="false" customHeight="false" outlineLevel="0" collapsed="false">
      <c r="M547" s="2"/>
      <c r="N547" s="10"/>
    </row>
    <row r="548" customFormat="false" ht="15.75" hidden="false" customHeight="false" outlineLevel="0" collapsed="false">
      <c r="M548" s="2"/>
      <c r="N548" s="10"/>
    </row>
    <row r="549" customFormat="false" ht="15.75" hidden="false" customHeight="false" outlineLevel="0" collapsed="false">
      <c r="M549" s="2"/>
      <c r="N549" s="10"/>
    </row>
    <row r="550" customFormat="false" ht="15.75" hidden="false" customHeight="false" outlineLevel="0" collapsed="false">
      <c r="M550" s="2"/>
      <c r="N550" s="10"/>
    </row>
    <row r="551" customFormat="false" ht="15.75" hidden="false" customHeight="false" outlineLevel="0" collapsed="false">
      <c r="M551" s="2"/>
      <c r="N551" s="10"/>
    </row>
    <row r="552" customFormat="false" ht="15.75" hidden="false" customHeight="false" outlineLevel="0" collapsed="false">
      <c r="M552" s="2"/>
      <c r="N552" s="10"/>
    </row>
    <row r="553" customFormat="false" ht="15.75" hidden="false" customHeight="false" outlineLevel="0" collapsed="false">
      <c r="M553" s="2"/>
      <c r="N553" s="10"/>
    </row>
    <row r="554" customFormat="false" ht="15.75" hidden="false" customHeight="false" outlineLevel="0" collapsed="false">
      <c r="M554" s="2"/>
      <c r="N554" s="10"/>
    </row>
    <row r="555" customFormat="false" ht="15.75" hidden="false" customHeight="false" outlineLevel="0" collapsed="false">
      <c r="M555" s="2"/>
      <c r="N555" s="10"/>
    </row>
    <row r="556" customFormat="false" ht="15.75" hidden="false" customHeight="false" outlineLevel="0" collapsed="false">
      <c r="M556" s="2"/>
      <c r="N556" s="10"/>
    </row>
    <row r="557" customFormat="false" ht="15.75" hidden="false" customHeight="false" outlineLevel="0" collapsed="false">
      <c r="M557" s="2"/>
      <c r="N557" s="10"/>
    </row>
    <row r="558" customFormat="false" ht="15.75" hidden="false" customHeight="false" outlineLevel="0" collapsed="false">
      <c r="M558" s="2"/>
      <c r="N558" s="10"/>
    </row>
    <row r="559" customFormat="false" ht="15.75" hidden="false" customHeight="false" outlineLevel="0" collapsed="false">
      <c r="M559" s="2"/>
      <c r="N559" s="10"/>
    </row>
    <row r="560" customFormat="false" ht="15.75" hidden="false" customHeight="false" outlineLevel="0" collapsed="false">
      <c r="M560" s="2"/>
      <c r="N560" s="10"/>
    </row>
    <row r="561" customFormat="false" ht="15.75" hidden="false" customHeight="false" outlineLevel="0" collapsed="false">
      <c r="M561" s="2"/>
      <c r="N561" s="10"/>
    </row>
    <row r="562" customFormat="false" ht="15.75" hidden="false" customHeight="false" outlineLevel="0" collapsed="false">
      <c r="M562" s="2"/>
      <c r="N562" s="10"/>
    </row>
    <row r="563" customFormat="false" ht="15.75" hidden="false" customHeight="false" outlineLevel="0" collapsed="false">
      <c r="M563" s="2"/>
      <c r="N563" s="10"/>
    </row>
    <row r="564" customFormat="false" ht="15.75" hidden="false" customHeight="false" outlineLevel="0" collapsed="false">
      <c r="M564" s="2"/>
      <c r="N564" s="10"/>
    </row>
    <row r="565" customFormat="false" ht="15.75" hidden="false" customHeight="false" outlineLevel="0" collapsed="false">
      <c r="M565" s="2"/>
      <c r="N565" s="10"/>
    </row>
    <row r="566" customFormat="false" ht="15.75" hidden="false" customHeight="false" outlineLevel="0" collapsed="false">
      <c r="M566" s="2"/>
      <c r="N566" s="10"/>
    </row>
    <row r="567" customFormat="false" ht="15.75" hidden="false" customHeight="false" outlineLevel="0" collapsed="false">
      <c r="M567" s="2"/>
      <c r="N567" s="10"/>
    </row>
    <row r="568" customFormat="false" ht="15.75" hidden="false" customHeight="false" outlineLevel="0" collapsed="false">
      <c r="M568" s="2"/>
      <c r="N568" s="10"/>
    </row>
    <row r="569" customFormat="false" ht="15.75" hidden="false" customHeight="false" outlineLevel="0" collapsed="false">
      <c r="M569" s="2"/>
      <c r="N569" s="10"/>
    </row>
    <row r="570" customFormat="false" ht="15.75" hidden="false" customHeight="false" outlineLevel="0" collapsed="false">
      <c r="M570" s="2"/>
      <c r="N570" s="10"/>
    </row>
    <row r="571" customFormat="false" ht="15.75" hidden="false" customHeight="false" outlineLevel="0" collapsed="false">
      <c r="M571" s="2"/>
      <c r="N571" s="10"/>
    </row>
    <row r="572" customFormat="false" ht="15.75" hidden="false" customHeight="false" outlineLevel="0" collapsed="false">
      <c r="M572" s="2"/>
      <c r="N572" s="10"/>
    </row>
    <row r="573" customFormat="false" ht="15.75" hidden="false" customHeight="false" outlineLevel="0" collapsed="false">
      <c r="M573" s="2"/>
      <c r="N573" s="10"/>
    </row>
    <row r="574" customFormat="false" ht="15.75" hidden="false" customHeight="false" outlineLevel="0" collapsed="false">
      <c r="M574" s="2"/>
      <c r="N574" s="10"/>
    </row>
    <row r="575" customFormat="false" ht="15.75" hidden="false" customHeight="false" outlineLevel="0" collapsed="false">
      <c r="M575" s="2"/>
      <c r="N575" s="10"/>
    </row>
    <row r="576" customFormat="false" ht="15.75" hidden="false" customHeight="false" outlineLevel="0" collapsed="false">
      <c r="M576" s="2"/>
      <c r="N576" s="10"/>
    </row>
    <row r="577" customFormat="false" ht="15.75" hidden="false" customHeight="false" outlineLevel="0" collapsed="false">
      <c r="M577" s="2"/>
      <c r="N577" s="10"/>
    </row>
    <row r="578" customFormat="false" ht="15.75" hidden="false" customHeight="false" outlineLevel="0" collapsed="false">
      <c r="M578" s="2"/>
      <c r="N578" s="10"/>
    </row>
    <row r="579" customFormat="false" ht="15.75" hidden="false" customHeight="false" outlineLevel="0" collapsed="false">
      <c r="M579" s="2"/>
      <c r="N579" s="10"/>
    </row>
    <row r="580" customFormat="false" ht="15.75" hidden="false" customHeight="false" outlineLevel="0" collapsed="false">
      <c r="M580" s="2"/>
      <c r="N580" s="10"/>
    </row>
    <row r="581" customFormat="false" ht="15.75" hidden="false" customHeight="false" outlineLevel="0" collapsed="false">
      <c r="M581" s="2"/>
      <c r="N581" s="10"/>
    </row>
    <row r="582" customFormat="false" ht="15.75" hidden="false" customHeight="false" outlineLevel="0" collapsed="false">
      <c r="M582" s="2"/>
      <c r="N582" s="10"/>
    </row>
    <row r="583" customFormat="false" ht="15.75" hidden="false" customHeight="false" outlineLevel="0" collapsed="false">
      <c r="M583" s="2"/>
      <c r="N583" s="10"/>
    </row>
    <row r="584" customFormat="false" ht="15.75" hidden="false" customHeight="false" outlineLevel="0" collapsed="false">
      <c r="M584" s="2"/>
      <c r="N584" s="10"/>
    </row>
    <row r="585" customFormat="false" ht="15.75" hidden="false" customHeight="false" outlineLevel="0" collapsed="false">
      <c r="M585" s="2"/>
      <c r="N585" s="10"/>
    </row>
    <row r="586" customFormat="false" ht="15.75" hidden="false" customHeight="false" outlineLevel="0" collapsed="false">
      <c r="M586" s="2"/>
      <c r="N586" s="10"/>
    </row>
    <row r="587" customFormat="false" ht="15.75" hidden="false" customHeight="false" outlineLevel="0" collapsed="false">
      <c r="M587" s="2"/>
      <c r="N587" s="10"/>
    </row>
    <row r="588" customFormat="false" ht="15.75" hidden="false" customHeight="false" outlineLevel="0" collapsed="false">
      <c r="M588" s="2"/>
      <c r="N588" s="10"/>
    </row>
    <row r="589" customFormat="false" ht="15.75" hidden="false" customHeight="false" outlineLevel="0" collapsed="false">
      <c r="M589" s="2"/>
      <c r="N589" s="10"/>
    </row>
    <row r="590" customFormat="false" ht="15.75" hidden="false" customHeight="false" outlineLevel="0" collapsed="false">
      <c r="M590" s="2"/>
      <c r="N590" s="10"/>
    </row>
    <row r="591" customFormat="false" ht="15.75" hidden="false" customHeight="false" outlineLevel="0" collapsed="false">
      <c r="M591" s="2"/>
      <c r="N591" s="10"/>
    </row>
    <row r="592" customFormat="false" ht="15.75" hidden="false" customHeight="false" outlineLevel="0" collapsed="false">
      <c r="M592" s="2"/>
      <c r="N592" s="10"/>
    </row>
    <row r="593" customFormat="false" ht="15.75" hidden="false" customHeight="false" outlineLevel="0" collapsed="false">
      <c r="M593" s="2"/>
      <c r="N593" s="10"/>
    </row>
    <row r="594" customFormat="false" ht="15.75" hidden="false" customHeight="false" outlineLevel="0" collapsed="false">
      <c r="M594" s="2"/>
      <c r="N594" s="10"/>
    </row>
    <row r="595" customFormat="false" ht="15.75" hidden="false" customHeight="false" outlineLevel="0" collapsed="false">
      <c r="M595" s="2"/>
      <c r="N595" s="10"/>
    </row>
    <row r="596" customFormat="false" ht="15.75" hidden="false" customHeight="false" outlineLevel="0" collapsed="false">
      <c r="M596" s="2"/>
      <c r="N596" s="10"/>
    </row>
    <row r="597" customFormat="false" ht="15.75" hidden="false" customHeight="false" outlineLevel="0" collapsed="false">
      <c r="M597" s="2"/>
      <c r="N597" s="10"/>
    </row>
    <row r="598" customFormat="false" ht="15.75" hidden="false" customHeight="false" outlineLevel="0" collapsed="false">
      <c r="M598" s="2"/>
      <c r="N598" s="10"/>
    </row>
    <row r="599" customFormat="false" ht="15.75" hidden="false" customHeight="false" outlineLevel="0" collapsed="false">
      <c r="M599" s="2"/>
      <c r="N599" s="10"/>
    </row>
    <row r="600" customFormat="false" ht="15.75" hidden="false" customHeight="false" outlineLevel="0" collapsed="false">
      <c r="M600" s="2"/>
      <c r="N600" s="10"/>
    </row>
    <row r="601" customFormat="false" ht="15.75" hidden="false" customHeight="false" outlineLevel="0" collapsed="false">
      <c r="M601" s="2"/>
      <c r="N601" s="10"/>
    </row>
    <row r="602" customFormat="false" ht="15.75" hidden="false" customHeight="false" outlineLevel="0" collapsed="false">
      <c r="M602" s="2"/>
      <c r="N602" s="10"/>
    </row>
    <row r="603" customFormat="false" ht="15.75" hidden="false" customHeight="false" outlineLevel="0" collapsed="false">
      <c r="M603" s="2"/>
      <c r="N603" s="10"/>
    </row>
    <row r="604" customFormat="false" ht="15.75" hidden="false" customHeight="false" outlineLevel="0" collapsed="false">
      <c r="M604" s="2"/>
      <c r="N604" s="10"/>
    </row>
    <row r="605" customFormat="false" ht="15.75" hidden="false" customHeight="false" outlineLevel="0" collapsed="false">
      <c r="M605" s="2"/>
      <c r="N605" s="10"/>
    </row>
    <row r="606" customFormat="false" ht="15.75" hidden="false" customHeight="false" outlineLevel="0" collapsed="false">
      <c r="M606" s="2"/>
      <c r="N606" s="10"/>
    </row>
    <row r="607" customFormat="false" ht="15.75" hidden="false" customHeight="false" outlineLevel="0" collapsed="false">
      <c r="M607" s="2"/>
      <c r="N607" s="10"/>
    </row>
    <row r="608" customFormat="false" ht="15.75" hidden="false" customHeight="false" outlineLevel="0" collapsed="false">
      <c r="M608" s="2"/>
      <c r="N608" s="10"/>
    </row>
    <row r="609" customFormat="false" ht="15.75" hidden="false" customHeight="false" outlineLevel="0" collapsed="false">
      <c r="M609" s="2"/>
      <c r="N609" s="10"/>
    </row>
    <row r="610" customFormat="false" ht="15.75" hidden="false" customHeight="false" outlineLevel="0" collapsed="false">
      <c r="M610" s="2"/>
      <c r="N610" s="10"/>
    </row>
    <row r="611" customFormat="false" ht="15.75" hidden="false" customHeight="false" outlineLevel="0" collapsed="false">
      <c r="M611" s="2"/>
      <c r="N611" s="10"/>
    </row>
    <row r="612" customFormat="false" ht="15.75" hidden="false" customHeight="false" outlineLevel="0" collapsed="false">
      <c r="M612" s="2"/>
      <c r="N612" s="10"/>
    </row>
    <row r="613" customFormat="false" ht="15.75" hidden="false" customHeight="false" outlineLevel="0" collapsed="false">
      <c r="M613" s="2"/>
      <c r="N613" s="10"/>
    </row>
    <row r="614" customFormat="false" ht="15.75" hidden="false" customHeight="false" outlineLevel="0" collapsed="false">
      <c r="M614" s="2"/>
      <c r="N614" s="10"/>
    </row>
    <row r="615" customFormat="false" ht="15.75" hidden="false" customHeight="false" outlineLevel="0" collapsed="false">
      <c r="M615" s="2"/>
      <c r="N615" s="10"/>
    </row>
    <row r="616" customFormat="false" ht="15.75" hidden="false" customHeight="false" outlineLevel="0" collapsed="false">
      <c r="M616" s="2"/>
      <c r="N616" s="10"/>
    </row>
    <row r="617" customFormat="false" ht="15.75" hidden="false" customHeight="false" outlineLevel="0" collapsed="false">
      <c r="M617" s="2"/>
      <c r="N617" s="10"/>
    </row>
    <row r="618" customFormat="false" ht="15.75" hidden="false" customHeight="false" outlineLevel="0" collapsed="false">
      <c r="M618" s="2"/>
      <c r="N618" s="10"/>
    </row>
    <row r="619" customFormat="false" ht="15.75" hidden="false" customHeight="false" outlineLevel="0" collapsed="false">
      <c r="M619" s="2"/>
      <c r="N619" s="10"/>
    </row>
    <row r="620" customFormat="false" ht="15.75" hidden="false" customHeight="false" outlineLevel="0" collapsed="false">
      <c r="M620" s="2"/>
      <c r="N620" s="10"/>
    </row>
    <row r="621" customFormat="false" ht="15.75" hidden="false" customHeight="false" outlineLevel="0" collapsed="false">
      <c r="M621" s="2"/>
      <c r="N621" s="10"/>
    </row>
    <row r="622" customFormat="false" ht="15.75" hidden="false" customHeight="false" outlineLevel="0" collapsed="false">
      <c r="M622" s="2"/>
      <c r="N622" s="10"/>
    </row>
    <row r="623" customFormat="false" ht="15.75" hidden="false" customHeight="false" outlineLevel="0" collapsed="false">
      <c r="M623" s="2"/>
      <c r="N623" s="10"/>
    </row>
    <row r="624" customFormat="false" ht="15.75" hidden="false" customHeight="false" outlineLevel="0" collapsed="false">
      <c r="M624" s="2"/>
      <c r="N624" s="10"/>
    </row>
    <row r="625" customFormat="false" ht="15.75" hidden="false" customHeight="false" outlineLevel="0" collapsed="false">
      <c r="M625" s="2"/>
      <c r="N625" s="10"/>
    </row>
    <row r="626" customFormat="false" ht="15.75" hidden="false" customHeight="false" outlineLevel="0" collapsed="false">
      <c r="M626" s="2"/>
      <c r="N626" s="10"/>
    </row>
    <row r="627" customFormat="false" ht="15.75" hidden="false" customHeight="false" outlineLevel="0" collapsed="false">
      <c r="M627" s="2"/>
      <c r="N627" s="10"/>
    </row>
    <row r="628" customFormat="false" ht="15.75" hidden="false" customHeight="false" outlineLevel="0" collapsed="false">
      <c r="M628" s="2"/>
      <c r="N628" s="10"/>
    </row>
    <row r="629" customFormat="false" ht="15.75" hidden="false" customHeight="false" outlineLevel="0" collapsed="false">
      <c r="M629" s="2"/>
      <c r="N629" s="10"/>
    </row>
    <row r="630" customFormat="false" ht="15.75" hidden="false" customHeight="false" outlineLevel="0" collapsed="false">
      <c r="M630" s="2"/>
      <c r="N630" s="10"/>
    </row>
    <row r="631" customFormat="false" ht="15.75" hidden="false" customHeight="false" outlineLevel="0" collapsed="false">
      <c r="M631" s="2"/>
      <c r="N631" s="10"/>
    </row>
    <row r="632" customFormat="false" ht="15.75" hidden="false" customHeight="false" outlineLevel="0" collapsed="false">
      <c r="M632" s="2"/>
      <c r="N632" s="10"/>
    </row>
    <row r="633" customFormat="false" ht="15.75" hidden="false" customHeight="false" outlineLevel="0" collapsed="false">
      <c r="M633" s="2"/>
      <c r="N633" s="10"/>
    </row>
    <row r="634" customFormat="false" ht="15.75" hidden="false" customHeight="false" outlineLevel="0" collapsed="false">
      <c r="M634" s="2"/>
      <c r="N634" s="10"/>
    </row>
    <row r="635" customFormat="false" ht="15.75" hidden="false" customHeight="false" outlineLevel="0" collapsed="false">
      <c r="M635" s="2"/>
      <c r="N635" s="10"/>
    </row>
    <row r="636" customFormat="false" ht="15.75" hidden="false" customHeight="false" outlineLevel="0" collapsed="false">
      <c r="M636" s="2"/>
      <c r="N636" s="10"/>
    </row>
    <row r="637" customFormat="false" ht="15.75" hidden="false" customHeight="false" outlineLevel="0" collapsed="false">
      <c r="M637" s="2"/>
      <c r="N637" s="10"/>
    </row>
    <row r="638" customFormat="false" ht="15.75" hidden="false" customHeight="false" outlineLevel="0" collapsed="false">
      <c r="M638" s="2"/>
      <c r="N638" s="10"/>
    </row>
    <row r="639" customFormat="false" ht="15.75" hidden="false" customHeight="false" outlineLevel="0" collapsed="false">
      <c r="M639" s="2"/>
      <c r="N639" s="10"/>
    </row>
    <row r="640" customFormat="false" ht="15.75" hidden="false" customHeight="false" outlineLevel="0" collapsed="false">
      <c r="M640" s="2"/>
      <c r="N640" s="10"/>
    </row>
    <row r="641" customFormat="false" ht="15.75" hidden="false" customHeight="false" outlineLevel="0" collapsed="false">
      <c r="M641" s="2"/>
      <c r="N641" s="10"/>
    </row>
    <row r="642" customFormat="false" ht="15.75" hidden="false" customHeight="false" outlineLevel="0" collapsed="false">
      <c r="M642" s="2"/>
      <c r="N642" s="10"/>
    </row>
    <row r="643" customFormat="false" ht="15.75" hidden="false" customHeight="false" outlineLevel="0" collapsed="false">
      <c r="M643" s="2"/>
      <c r="N643" s="10"/>
    </row>
    <row r="644" customFormat="false" ht="15.75" hidden="false" customHeight="false" outlineLevel="0" collapsed="false">
      <c r="M644" s="2"/>
      <c r="N644" s="10"/>
    </row>
    <row r="645" customFormat="false" ht="15.75" hidden="false" customHeight="false" outlineLevel="0" collapsed="false">
      <c r="M645" s="2"/>
      <c r="N645" s="10"/>
    </row>
    <row r="646" customFormat="false" ht="15.75" hidden="false" customHeight="false" outlineLevel="0" collapsed="false">
      <c r="M646" s="2"/>
      <c r="N646" s="10"/>
    </row>
    <row r="647" customFormat="false" ht="15.75" hidden="false" customHeight="false" outlineLevel="0" collapsed="false">
      <c r="M647" s="2"/>
      <c r="N647" s="10"/>
    </row>
    <row r="648" customFormat="false" ht="15.75" hidden="false" customHeight="false" outlineLevel="0" collapsed="false">
      <c r="M648" s="2"/>
      <c r="N648" s="10"/>
    </row>
    <row r="649" customFormat="false" ht="15.75" hidden="false" customHeight="false" outlineLevel="0" collapsed="false">
      <c r="M649" s="2"/>
      <c r="N649" s="10"/>
    </row>
    <row r="650" customFormat="false" ht="15.75" hidden="false" customHeight="false" outlineLevel="0" collapsed="false">
      <c r="M650" s="2"/>
      <c r="N650" s="10"/>
    </row>
    <row r="651" customFormat="false" ht="15.75" hidden="false" customHeight="false" outlineLevel="0" collapsed="false">
      <c r="M651" s="2"/>
      <c r="N651" s="10"/>
    </row>
    <row r="652" customFormat="false" ht="15.75" hidden="false" customHeight="false" outlineLevel="0" collapsed="false">
      <c r="M652" s="2"/>
      <c r="N652" s="10"/>
    </row>
    <row r="653" customFormat="false" ht="15.75" hidden="false" customHeight="false" outlineLevel="0" collapsed="false">
      <c r="M653" s="2"/>
      <c r="N653" s="10"/>
    </row>
    <row r="654" customFormat="false" ht="15.75" hidden="false" customHeight="false" outlineLevel="0" collapsed="false">
      <c r="M654" s="2"/>
      <c r="N654" s="10"/>
    </row>
    <row r="655" customFormat="false" ht="15.75" hidden="false" customHeight="false" outlineLevel="0" collapsed="false">
      <c r="M655" s="2"/>
      <c r="N655" s="10"/>
    </row>
    <row r="656" customFormat="false" ht="15.75" hidden="false" customHeight="false" outlineLevel="0" collapsed="false">
      <c r="M656" s="2"/>
      <c r="N656" s="10"/>
    </row>
    <row r="657" customFormat="false" ht="15.75" hidden="false" customHeight="false" outlineLevel="0" collapsed="false">
      <c r="M657" s="2"/>
      <c r="N657" s="10"/>
    </row>
    <row r="658" customFormat="false" ht="15.75" hidden="false" customHeight="false" outlineLevel="0" collapsed="false">
      <c r="M658" s="2"/>
      <c r="N658" s="10"/>
    </row>
    <row r="659" customFormat="false" ht="15.75" hidden="false" customHeight="false" outlineLevel="0" collapsed="false">
      <c r="M659" s="2"/>
      <c r="N659" s="10"/>
    </row>
    <row r="660" customFormat="false" ht="15.75" hidden="false" customHeight="false" outlineLevel="0" collapsed="false">
      <c r="M660" s="2"/>
      <c r="N660" s="10"/>
    </row>
    <row r="661" customFormat="false" ht="15.75" hidden="false" customHeight="false" outlineLevel="0" collapsed="false">
      <c r="M661" s="2"/>
      <c r="N661" s="10"/>
    </row>
    <row r="662" customFormat="false" ht="15.75" hidden="false" customHeight="false" outlineLevel="0" collapsed="false">
      <c r="M662" s="2"/>
      <c r="N662" s="10"/>
    </row>
    <row r="663" customFormat="false" ht="15.75" hidden="false" customHeight="false" outlineLevel="0" collapsed="false">
      <c r="M663" s="2"/>
      <c r="N663" s="10"/>
    </row>
    <row r="664" customFormat="false" ht="15.75" hidden="false" customHeight="false" outlineLevel="0" collapsed="false">
      <c r="M664" s="2"/>
      <c r="N664" s="10"/>
    </row>
    <row r="665" customFormat="false" ht="15.75" hidden="false" customHeight="false" outlineLevel="0" collapsed="false">
      <c r="M665" s="2"/>
      <c r="N665" s="10"/>
    </row>
    <row r="666" customFormat="false" ht="15.75" hidden="false" customHeight="false" outlineLevel="0" collapsed="false">
      <c r="M666" s="2"/>
      <c r="N666" s="10"/>
    </row>
    <row r="667" customFormat="false" ht="15.75" hidden="false" customHeight="false" outlineLevel="0" collapsed="false">
      <c r="M667" s="2"/>
      <c r="N667" s="10"/>
    </row>
    <row r="668" customFormat="false" ht="15.75" hidden="false" customHeight="false" outlineLevel="0" collapsed="false">
      <c r="M668" s="2"/>
      <c r="N668" s="10"/>
    </row>
    <row r="669" customFormat="false" ht="15.75" hidden="false" customHeight="false" outlineLevel="0" collapsed="false">
      <c r="M669" s="2"/>
      <c r="N669" s="10"/>
    </row>
    <row r="670" customFormat="false" ht="15.75" hidden="false" customHeight="false" outlineLevel="0" collapsed="false">
      <c r="M670" s="2"/>
      <c r="N670" s="10"/>
    </row>
    <row r="671" customFormat="false" ht="15.75" hidden="false" customHeight="false" outlineLevel="0" collapsed="false">
      <c r="M671" s="2"/>
      <c r="N671" s="10"/>
    </row>
    <row r="672" customFormat="false" ht="15.75" hidden="false" customHeight="false" outlineLevel="0" collapsed="false">
      <c r="M672" s="2"/>
      <c r="N672" s="10"/>
    </row>
    <row r="673" customFormat="false" ht="15.75" hidden="false" customHeight="false" outlineLevel="0" collapsed="false">
      <c r="M673" s="2"/>
      <c r="N673" s="10"/>
    </row>
    <row r="674" customFormat="false" ht="15.75" hidden="false" customHeight="false" outlineLevel="0" collapsed="false">
      <c r="M674" s="2"/>
      <c r="N674" s="10"/>
    </row>
    <row r="675" customFormat="false" ht="15.75" hidden="false" customHeight="false" outlineLevel="0" collapsed="false">
      <c r="M675" s="2"/>
      <c r="N675" s="10"/>
    </row>
    <row r="676" customFormat="false" ht="15.75" hidden="false" customHeight="false" outlineLevel="0" collapsed="false">
      <c r="M676" s="2"/>
      <c r="N676" s="10"/>
    </row>
    <row r="677" customFormat="false" ht="15.75" hidden="false" customHeight="false" outlineLevel="0" collapsed="false">
      <c r="M677" s="2"/>
      <c r="N677" s="10"/>
    </row>
    <row r="678" customFormat="false" ht="15.75" hidden="false" customHeight="false" outlineLevel="0" collapsed="false">
      <c r="M678" s="2"/>
      <c r="N678" s="10"/>
    </row>
    <row r="679" customFormat="false" ht="15.75" hidden="false" customHeight="false" outlineLevel="0" collapsed="false">
      <c r="M679" s="2"/>
      <c r="N679" s="10"/>
    </row>
    <row r="680" customFormat="false" ht="15.75" hidden="false" customHeight="false" outlineLevel="0" collapsed="false">
      <c r="M680" s="2"/>
      <c r="N680" s="10"/>
    </row>
    <row r="681" customFormat="false" ht="15.75" hidden="false" customHeight="false" outlineLevel="0" collapsed="false">
      <c r="M681" s="2"/>
      <c r="N681" s="10"/>
    </row>
    <row r="682" customFormat="false" ht="15.75" hidden="false" customHeight="false" outlineLevel="0" collapsed="false">
      <c r="M682" s="2"/>
      <c r="N682" s="10"/>
    </row>
    <row r="683" customFormat="false" ht="15.75" hidden="false" customHeight="false" outlineLevel="0" collapsed="false">
      <c r="M683" s="2"/>
      <c r="N683" s="10"/>
    </row>
    <row r="684" customFormat="false" ht="15.75" hidden="false" customHeight="false" outlineLevel="0" collapsed="false">
      <c r="M684" s="2"/>
      <c r="N684" s="10"/>
    </row>
    <row r="685" customFormat="false" ht="15.75" hidden="false" customHeight="false" outlineLevel="0" collapsed="false">
      <c r="M685" s="2"/>
      <c r="N685" s="10"/>
    </row>
    <row r="686" customFormat="false" ht="15.75" hidden="false" customHeight="false" outlineLevel="0" collapsed="false">
      <c r="M686" s="2"/>
      <c r="N686" s="10"/>
    </row>
    <row r="687" customFormat="false" ht="15.75" hidden="false" customHeight="false" outlineLevel="0" collapsed="false">
      <c r="M687" s="2"/>
      <c r="N687" s="10"/>
    </row>
    <row r="688" customFormat="false" ht="15.75" hidden="false" customHeight="false" outlineLevel="0" collapsed="false">
      <c r="M688" s="2"/>
      <c r="N688" s="10"/>
    </row>
    <row r="689" customFormat="false" ht="15.75" hidden="false" customHeight="false" outlineLevel="0" collapsed="false">
      <c r="M689" s="2"/>
      <c r="N689" s="10"/>
    </row>
    <row r="690" customFormat="false" ht="15.75" hidden="false" customHeight="false" outlineLevel="0" collapsed="false">
      <c r="M690" s="2"/>
      <c r="N690" s="10"/>
    </row>
    <row r="691" customFormat="false" ht="15.75" hidden="false" customHeight="false" outlineLevel="0" collapsed="false">
      <c r="M691" s="2"/>
      <c r="N691" s="10"/>
    </row>
    <row r="692" customFormat="false" ht="15.75" hidden="false" customHeight="false" outlineLevel="0" collapsed="false">
      <c r="M692" s="2"/>
      <c r="N692" s="10"/>
    </row>
    <row r="693" customFormat="false" ht="15.75" hidden="false" customHeight="false" outlineLevel="0" collapsed="false">
      <c r="M693" s="2"/>
      <c r="N693" s="10"/>
    </row>
    <row r="694" customFormat="false" ht="15.75" hidden="false" customHeight="false" outlineLevel="0" collapsed="false">
      <c r="M694" s="2"/>
      <c r="N694" s="10"/>
    </row>
    <row r="695" customFormat="false" ht="15.75" hidden="false" customHeight="false" outlineLevel="0" collapsed="false">
      <c r="M695" s="2"/>
      <c r="N695" s="10"/>
    </row>
    <row r="696" customFormat="false" ht="15.75" hidden="false" customHeight="false" outlineLevel="0" collapsed="false">
      <c r="M696" s="2"/>
      <c r="N696" s="10"/>
    </row>
    <row r="697" customFormat="false" ht="15.75" hidden="false" customHeight="false" outlineLevel="0" collapsed="false">
      <c r="M697" s="2"/>
      <c r="N697" s="10"/>
    </row>
    <row r="698" customFormat="false" ht="15.75" hidden="false" customHeight="false" outlineLevel="0" collapsed="false">
      <c r="M698" s="2"/>
      <c r="N698" s="10"/>
    </row>
    <row r="699" customFormat="false" ht="15.75" hidden="false" customHeight="false" outlineLevel="0" collapsed="false">
      <c r="M699" s="2"/>
      <c r="N699" s="10"/>
    </row>
    <row r="700" customFormat="false" ht="15.75" hidden="false" customHeight="false" outlineLevel="0" collapsed="false">
      <c r="M700" s="2"/>
      <c r="N700" s="10"/>
    </row>
    <row r="701" customFormat="false" ht="15.75" hidden="false" customHeight="false" outlineLevel="0" collapsed="false">
      <c r="M701" s="2"/>
      <c r="N701" s="10"/>
    </row>
    <row r="702" customFormat="false" ht="15.75" hidden="false" customHeight="false" outlineLevel="0" collapsed="false">
      <c r="M702" s="2"/>
      <c r="N702" s="10"/>
    </row>
    <row r="703" customFormat="false" ht="15.75" hidden="false" customHeight="false" outlineLevel="0" collapsed="false">
      <c r="M703" s="2"/>
      <c r="N703" s="10"/>
    </row>
    <row r="704" customFormat="false" ht="15.75" hidden="false" customHeight="false" outlineLevel="0" collapsed="false">
      <c r="M704" s="2"/>
      <c r="N704" s="10"/>
    </row>
    <row r="705" customFormat="false" ht="15.75" hidden="false" customHeight="false" outlineLevel="0" collapsed="false">
      <c r="M705" s="2"/>
      <c r="N705" s="10"/>
    </row>
    <row r="706" customFormat="false" ht="15.75" hidden="false" customHeight="false" outlineLevel="0" collapsed="false">
      <c r="M706" s="2"/>
      <c r="N706" s="10"/>
    </row>
    <row r="707" customFormat="false" ht="15.75" hidden="false" customHeight="false" outlineLevel="0" collapsed="false">
      <c r="M707" s="2"/>
      <c r="N707" s="10"/>
    </row>
    <row r="708" customFormat="false" ht="15.75" hidden="false" customHeight="false" outlineLevel="0" collapsed="false">
      <c r="M708" s="2"/>
      <c r="N708" s="10"/>
    </row>
    <row r="709" customFormat="false" ht="15.75" hidden="false" customHeight="false" outlineLevel="0" collapsed="false">
      <c r="M709" s="2"/>
      <c r="N709" s="10"/>
    </row>
    <row r="710" customFormat="false" ht="15.75" hidden="false" customHeight="false" outlineLevel="0" collapsed="false">
      <c r="M710" s="2"/>
      <c r="N710" s="10"/>
    </row>
    <row r="711" customFormat="false" ht="15.75" hidden="false" customHeight="false" outlineLevel="0" collapsed="false">
      <c r="M711" s="2"/>
      <c r="N711" s="10"/>
    </row>
    <row r="712" customFormat="false" ht="15.75" hidden="false" customHeight="false" outlineLevel="0" collapsed="false">
      <c r="M712" s="2"/>
      <c r="N712" s="10"/>
    </row>
    <row r="713" customFormat="false" ht="15.75" hidden="false" customHeight="false" outlineLevel="0" collapsed="false">
      <c r="M713" s="2"/>
      <c r="N713" s="10"/>
    </row>
    <row r="714" customFormat="false" ht="15.75" hidden="false" customHeight="false" outlineLevel="0" collapsed="false">
      <c r="M714" s="2"/>
      <c r="N714" s="10"/>
    </row>
    <row r="715" customFormat="false" ht="15.75" hidden="false" customHeight="false" outlineLevel="0" collapsed="false">
      <c r="M715" s="2"/>
      <c r="N715" s="10"/>
    </row>
    <row r="716" customFormat="false" ht="15.75" hidden="false" customHeight="false" outlineLevel="0" collapsed="false">
      <c r="M716" s="2"/>
      <c r="N716" s="10"/>
    </row>
    <row r="717" customFormat="false" ht="15.75" hidden="false" customHeight="false" outlineLevel="0" collapsed="false">
      <c r="M717" s="2"/>
      <c r="N717" s="10"/>
    </row>
    <row r="718" customFormat="false" ht="15.75" hidden="false" customHeight="false" outlineLevel="0" collapsed="false">
      <c r="M718" s="2"/>
      <c r="N718" s="10"/>
    </row>
    <row r="719" customFormat="false" ht="15.75" hidden="false" customHeight="false" outlineLevel="0" collapsed="false">
      <c r="M719" s="2"/>
      <c r="N719" s="10"/>
    </row>
    <row r="720" customFormat="false" ht="15.75" hidden="false" customHeight="false" outlineLevel="0" collapsed="false">
      <c r="M720" s="2"/>
      <c r="N720" s="10"/>
    </row>
    <row r="721" customFormat="false" ht="15.75" hidden="false" customHeight="false" outlineLevel="0" collapsed="false">
      <c r="M721" s="2"/>
      <c r="N721" s="10"/>
    </row>
    <row r="722" customFormat="false" ht="15.75" hidden="false" customHeight="false" outlineLevel="0" collapsed="false">
      <c r="M722" s="2"/>
      <c r="N722" s="10"/>
    </row>
    <row r="723" customFormat="false" ht="15.75" hidden="false" customHeight="false" outlineLevel="0" collapsed="false">
      <c r="M723" s="2"/>
      <c r="N723" s="10"/>
    </row>
    <row r="724" customFormat="false" ht="15.75" hidden="false" customHeight="false" outlineLevel="0" collapsed="false">
      <c r="M724" s="2"/>
      <c r="N724" s="10"/>
    </row>
    <row r="725" customFormat="false" ht="15.75" hidden="false" customHeight="false" outlineLevel="0" collapsed="false">
      <c r="M725" s="2"/>
      <c r="N725" s="10"/>
    </row>
    <row r="726" customFormat="false" ht="15.75" hidden="false" customHeight="false" outlineLevel="0" collapsed="false">
      <c r="M726" s="2"/>
      <c r="N726" s="10"/>
    </row>
    <row r="727" customFormat="false" ht="15.75" hidden="false" customHeight="false" outlineLevel="0" collapsed="false">
      <c r="M727" s="2"/>
      <c r="N727" s="10"/>
    </row>
    <row r="728" customFormat="false" ht="15.75" hidden="false" customHeight="false" outlineLevel="0" collapsed="false">
      <c r="M728" s="2"/>
      <c r="N728" s="10"/>
    </row>
    <row r="729" customFormat="false" ht="15.75" hidden="false" customHeight="false" outlineLevel="0" collapsed="false">
      <c r="M729" s="2"/>
      <c r="N729" s="10"/>
    </row>
    <row r="730" customFormat="false" ht="15.75" hidden="false" customHeight="false" outlineLevel="0" collapsed="false">
      <c r="M730" s="2"/>
      <c r="N730" s="10"/>
    </row>
    <row r="731" customFormat="false" ht="15.75" hidden="false" customHeight="false" outlineLevel="0" collapsed="false">
      <c r="M731" s="2"/>
      <c r="N731" s="10"/>
    </row>
    <row r="732" customFormat="false" ht="15.75" hidden="false" customHeight="false" outlineLevel="0" collapsed="false">
      <c r="M732" s="2"/>
      <c r="N732" s="10"/>
    </row>
    <row r="733" customFormat="false" ht="15.75" hidden="false" customHeight="false" outlineLevel="0" collapsed="false">
      <c r="M733" s="2"/>
      <c r="N733" s="10"/>
    </row>
    <row r="734" customFormat="false" ht="15.75" hidden="false" customHeight="false" outlineLevel="0" collapsed="false">
      <c r="M734" s="2"/>
      <c r="N734" s="10"/>
    </row>
    <row r="735" customFormat="false" ht="15.75" hidden="false" customHeight="false" outlineLevel="0" collapsed="false">
      <c r="M735" s="2"/>
      <c r="N735" s="10"/>
    </row>
    <row r="736" customFormat="false" ht="15.75" hidden="false" customHeight="false" outlineLevel="0" collapsed="false">
      <c r="M736" s="2"/>
      <c r="N736" s="10"/>
    </row>
    <row r="737" customFormat="false" ht="15.75" hidden="false" customHeight="false" outlineLevel="0" collapsed="false">
      <c r="M737" s="2"/>
      <c r="N737" s="10"/>
    </row>
    <row r="738" customFormat="false" ht="15.75" hidden="false" customHeight="false" outlineLevel="0" collapsed="false">
      <c r="M738" s="2"/>
      <c r="N738" s="10"/>
    </row>
    <row r="739" customFormat="false" ht="15.75" hidden="false" customHeight="false" outlineLevel="0" collapsed="false">
      <c r="M739" s="2"/>
      <c r="N739" s="10"/>
    </row>
    <row r="740" customFormat="false" ht="15.75" hidden="false" customHeight="false" outlineLevel="0" collapsed="false">
      <c r="M740" s="2"/>
      <c r="N740" s="10"/>
    </row>
    <row r="741" customFormat="false" ht="15.75" hidden="false" customHeight="false" outlineLevel="0" collapsed="false">
      <c r="M741" s="2"/>
      <c r="N741" s="10"/>
    </row>
    <row r="742" customFormat="false" ht="15.75" hidden="false" customHeight="false" outlineLevel="0" collapsed="false">
      <c r="M742" s="2"/>
      <c r="N742" s="10"/>
    </row>
    <row r="743" customFormat="false" ht="15.75" hidden="false" customHeight="false" outlineLevel="0" collapsed="false">
      <c r="M743" s="2"/>
      <c r="N743" s="10"/>
    </row>
    <row r="744" customFormat="false" ht="15.75" hidden="false" customHeight="false" outlineLevel="0" collapsed="false">
      <c r="M744" s="2"/>
      <c r="N744" s="10"/>
    </row>
    <row r="745" customFormat="false" ht="15.75" hidden="false" customHeight="false" outlineLevel="0" collapsed="false">
      <c r="M745" s="2"/>
      <c r="N745" s="10"/>
    </row>
    <row r="746" customFormat="false" ht="15.75" hidden="false" customHeight="false" outlineLevel="0" collapsed="false">
      <c r="M746" s="2"/>
      <c r="N746" s="10"/>
    </row>
    <row r="747" customFormat="false" ht="15.75" hidden="false" customHeight="false" outlineLevel="0" collapsed="false">
      <c r="M747" s="2"/>
      <c r="N747" s="10"/>
    </row>
    <row r="748" customFormat="false" ht="15.75" hidden="false" customHeight="false" outlineLevel="0" collapsed="false">
      <c r="M748" s="2"/>
      <c r="N748" s="10"/>
    </row>
    <row r="749" customFormat="false" ht="15.75" hidden="false" customHeight="false" outlineLevel="0" collapsed="false">
      <c r="M749" s="2"/>
      <c r="N749" s="10"/>
    </row>
    <row r="750" customFormat="false" ht="15.75" hidden="false" customHeight="false" outlineLevel="0" collapsed="false">
      <c r="M750" s="2"/>
      <c r="N750" s="10"/>
    </row>
    <row r="751" customFormat="false" ht="15.75" hidden="false" customHeight="false" outlineLevel="0" collapsed="false">
      <c r="M751" s="2"/>
      <c r="N751" s="10"/>
    </row>
    <row r="752" customFormat="false" ht="15.75" hidden="false" customHeight="false" outlineLevel="0" collapsed="false">
      <c r="M752" s="2"/>
      <c r="N752" s="10"/>
    </row>
    <row r="753" customFormat="false" ht="15.75" hidden="false" customHeight="false" outlineLevel="0" collapsed="false">
      <c r="M753" s="2"/>
      <c r="N753" s="10"/>
    </row>
    <row r="754" customFormat="false" ht="15.75" hidden="false" customHeight="false" outlineLevel="0" collapsed="false">
      <c r="M754" s="2"/>
      <c r="N754" s="10"/>
    </row>
    <row r="755" customFormat="false" ht="15.75" hidden="false" customHeight="false" outlineLevel="0" collapsed="false">
      <c r="M755" s="2"/>
      <c r="N755" s="10"/>
    </row>
    <row r="756" customFormat="false" ht="15.75" hidden="false" customHeight="false" outlineLevel="0" collapsed="false">
      <c r="M756" s="2"/>
      <c r="N756" s="10"/>
    </row>
    <row r="757" customFormat="false" ht="15.75" hidden="false" customHeight="false" outlineLevel="0" collapsed="false">
      <c r="M757" s="2"/>
      <c r="N757" s="10"/>
    </row>
    <row r="758" customFormat="false" ht="15.75" hidden="false" customHeight="false" outlineLevel="0" collapsed="false">
      <c r="M758" s="2"/>
      <c r="N758" s="10"/>
    </row>
    <row r="759" customFormat="false" ht="15.75" hidden="false" customHeight="false" outlineLevel="0" collapsed="false">
      <c r="M759" s="2"/>
      <c r="N759" s="10"/>
    </row>
    <row r="760" customFormat="false" ht="15.75" hidden="false" customHeight="false" outlineLevel="0" collapsed="false">
      <c r="M760" s="2"/>
      <c r="N760" s="10"/>
    </row>
    <row r="761" customFormat="false" ht="15.75" hidden="false" customHeight="false" outlineLevel="0" collapsed="false">
      <c r="M761" s="2"/>
      <c r="N761" s="10"/>
    </row>
    <row r="762" customFormat="false" ht="15.75" hidden="false" customHeight="false" outlineLevel="0" collapsed="false">
      <c r="M762" s="2"/>
      <c r="N762" s="10"/>
    </row>
    <row r="763" customFormat="false" ht="15.75" hidden="false" customHeight="false" outlineLevel="0" collapsed="false">
      <c r="M763" s="2"/>
      <c r="N763" s="10"/>
    </row>
    <row r="764" customFormat="false" ht="15.75" hidden="false" customHeight="false" outlineLevel="0" collapsed="false">
      <c r="M764" s="2"/>
      <c r="N764" s="10"/>
    </row>
    <row r="765" customFormat="false" ht="15.75" hidden="false" customHeight="false" outlineLevel="0" collapsed="false">
      <c r="M765" s="2"/>
      <c r="N765" s="10"/>
    </row>
    <row r="766" customFormat="false" ht="15.75" hidden="false" customHeight="false" outlineLevel="0" collapsed="false">
      <c r="M766" s="2"/>
      <c r="N766" s="10"/>
    </row>
    <row r="767" customFormat="false" ht="15.75" hidden="false" customHeight="false" outlineLevel="0" collapsed="false">
      <c r="M767" s="2"/>
      <c r="N767" s="10"/>
    </row>
    <row r="768" customFormat="false" ht="15.75" hidden="false" customHeight="false" outlineLevel="0" collapsed="false">
      <c r="M768" s="2"/>
      <c r="N768" s="10"/>
    </row>
    <row r="769" customFormat="false" ht="15.75" hidden="false" customHeight="false" outlineLevel="0" collapsed="false">
      <c r="M769" s="2"/>
      <c r="N769" s="10"/>
    </row>
    <row r="770" customFormat="false" ht="15.75" hidden="false" customHeight="false" outlineLevel="0" collapsed="false">
      <c r="M770" s="2"/>
      <c r="N770" s="10"/>
    </row>
    <row r="771" customFormat="false" ht="15.75" hidden="false" customHeight="false" outlineLevel="0" collapsed="false">
      <c r="M771" s="2"/>
      <c r="N771" s="10"/>
    </row>
    <row r="772" customFormat="false" ht="15.75" hidden="false" customHeight="false" outlineLevel="0" collapsed="false">
      <c r="M772" s="2"/>
      <c r="N772" s="10"/>
    </row>
    <row r="773" customFormat="false" ht="15.75" hidden="false" customHeight="false" outlineLevel="0" collapsed="false">
      <c r="M773" s="2"/>
      <c r="N773" s="10"/>
    </row>
    <row r="774" customFormat="false" ht="15.75" hidden="false" customHeight="false" outlineLevel="0" collapsed="false">
      <c r="M774" s="2"/>
      <c r="N774" s="10"/>
    </row>
    <row r="775" customFormat="false" ht="15.75" hidden="false" customHeight="false" outlineLevel="0" collapsed="false">
      <c r="M775" s="2"/>
      <c r="N775" s="10"/>
    </row>
    <row r="776" customFormat="false" ht="15.75" hidden="false" customHeight="false" outlineLevel="0" collapsed="false">
      <c r="M776" s="2"/>
      <c r="N776" s="10"/>
    </row>
    <row r="777" customFormat="false" ht="15.75" hidden="false" customHeight="false" outlineLevel="0" collapsed="false">
      <c r="M777" s="2"/>
      <c r="N777" s="10"/>
    </row>
    <row r="778" customFormat="false" ht="15.75" hidden="false" customHeight="false" outlineLevel="0" collapsed="false">
      <c r="M778" s="2"/>
      <c r="N778" s="10"/>
    </row>
    <row r="779" customFormat="false" ht="15.75" hidden="false" customHeight="false" outlineLevel="0" collapsed="false">
      <c r="M779" s="2"/>
      <c r="N779" s="10"/>
    </row>
    <row r="780" customFormat="false" ht="15.75" hidden="false" customHeight="false" outlineLevel="0" collapsed="false">
      <c r="M780" s="2"/>
      <c r="N780" s="10"/>
    </row>
    <row r="781" customFormat="false" ht="15.75" hidden="false" customHeight="false" outlineLevel="0" collapsed="false">
      <c r="M781" s="2"/>
      <c r="N781" s="10"/>
    </row>
    <row r="782" customFormat="false" ht="15.75" hidden="false" customHeight="false" outlineLevel="0" collapsed="false">
      <c r="M782" s="2"/>
      <c r="N782" s="10"/>
    </row>
    <row r="783" customFormat="false" ht="15.75" hidden="false" customHeight="false" outlineLevel="0" collapsed="false">
      <c r="M783" s="2"/>
      <c r="N783" s="10"/>
    </row>
    <row r="784" customFormat="false" ht="15.75" hidden="false" customHeight="false" outlineLevel="0" collapsed="false">
      <c r="M784" s="2"/>
      <c r="N784" s="10"/>
    </row>
    <row r="785" customFormat="false" ht="15.75" hidden="false" customHeight="false" outlineLevel="0" collapsed="false">
      <c r="M785" s="2"/>
      <c r="N785" s="10"/>
    </row>
    <row r="786" customFormat="false" ht="15.75" hidden="false" customHeight="false" outlineLevel="0" collapsed="false">
      <c r="M786" s="2"/>
      <c r="N786" s="10"/>
    </row>
    <row r="787" customFormat="false" ht="15.75" hidden="false" customHeight="false" outlineLevel="0" collapsed="false">
      <c r="M787" s="2"/>
      <c r="N787" s="10"/>
    </row>
    <row r="788" customFormat="false" ht="15.75" hidden="false" customHeight="false" outlineLevel="0" collapsed="false">
      <c r="M788" s="2"/>
      <c r="N788" s="10"/>
    </row>
    <row r="789" customFormat="false" ht="15.75" hidden="false" customHeight="false" outlineLevel="0" collapsed="false">
      <c r="M789" s="2"/>
      <c r="N789" s="10"/>
    </row>
    <row r="790" customFormat="false" ht="15.75" hidden="false" customHeight="false" outlineLevel="0" collapsed="false">
      <c r="M790" s="2"/>
      <c r="N790" s="10"/>
    </row>
    <row r="791" customFormat="false" ht="15.75" hidden="false" customHeight="false" outlineLevel="0" collapsed="false">
      <c r="M791" s="2"/>
      <c r="N791" s="10"/>
    </row>
    <row r="792" customFormat="false" ht="15.75" hidden="false" customHeight="false" outlineLevel="0" collapsed="false">
      <c r="M792" s="2"/>
      <c r="N792" s="10"/>
    </row>
    <row r="793" customFormat="false" ht="15.75" hidden="false" customHeight="false" outlineLevel="0" collapsed="false">
      <c r="M793" s="2"/>
      <c r="N793" s="10"/>
    </row>
    <row r="794" customFormat="false" ht="15.75" hidden="false" customHeight="false" outlineLevel="0" collapsed="false">
      <c r="M794" s="2"/>
      <c r="N794" s="10"/>
    </row>
    <row r="795" customFormat="false" ht="15.75" hidden="false" customHeight="false" outlineLevel="0" collapsed="false">
      <c r="M795" s="2"/>
      <c r="N795" s="10"/>
    </row>
    <row r="796" customFormat="false" ht="15.75" hidden="false" customHeight="false" outlineLevel="0" collapsed="false">
      <c r="M796" s="2"/>
      <c r="N796" s="10"/>
    </row>
    <row r="797" customFormat="false" ht="15.75" hidden="false" customHeight="false" outlineLevel="0" collapsed="false">
      <c r="M797" s="2"/>
      <c r="N797" s="10"/>
    </row>
    <row r="798" customFormat="false" ht="15.75" hidden="false" customHeight="false" outlineLevel="0" collapsed="false">
      <c r="M798" s="2"/>
      <c r="N798" s="10"/>
    </row>
    <row r="799" customFormat="false" ht="15.75" hidden="false" customHeight="false" outlineLevel="0" collapsed="false">
      <c r="M799" s="2"/>
      <c r="N799" s="10"/>
    </row>
    <row r="800" customFormat="false" ht="15.75" hidden="false" customHeight="false" outlineLevel="0" collapsed="false">
      <c r="M800" s="2"/>
      <c r="N800" s="10"/>
    </row>
    <row r="801" customFormat="false" ht="15.75" hidden="false" customHeight="false" outlineLevel="0" collapsed="false">
      <c r="M801" s="2"/>
      <c r="N801" s="10"/>
    </row>
    <row r="802" customFormat="false" ht="15.75" hidden="false" customHeight="false" outlineLevel="0" collapsed="false">
      <c r="M802" s="2"/>
      <c r="N802" s="10"/>
    </row>
    <row r="803" customFormat="false" ht="15.75" hidden="false" customHeight="false" outlineLevel="0" collapsed="false">
      <c r="M803" s="2"/>
      <c r="N803" s="10"/>
    </row>
    <row r="804" customFormat="false" ht="15.75" hidden="false" customHeight="false" outlineLevel="0" collapsed="false">
      <c r="M804" s="2"/>
      <c r="N804" s="10"/>
    </row>
    <row r="805" customFormat="false" ht="15.75" hidden="false" customHeight="false" outlineLevel="0" collapsed="false">
      <c r="M805" s="2"/>
      <c r="N805" s="10"/>
    </row>
    <row r="806" customFormat="false" ht="15.75" hidden="false" customHeight="false" outlineLevel="0" collapsed="false">
      <c r="M806" s="2"/>
      <c r="N806" s="10"/>
    </row>
    <row r="807" customFormat="false" ht="15.75" hidden="false" customHeight="false" outlineLevel="0" collapsed="false">
      <c r="M807" s="2"/>
      <c r="N807" s="10"/>
    </row>
    <row r="808" customFormat="false" ht="15.75" hidden="false" customHeight="false" outlineLevel="0" collapsed="false">
      <c r="M808" s="2"/>
      <c r="N808" s="10"/>
    </row>
    <row r="809" customFormat="false" ht="15.75" hidden="false" customHeight="false" outlineLevel="0" collapsed="false">
      <c r="M809" s="2"/>
      <c r="N809" s="10"/>
    </row>
    <row r="810" customFormat="false" ht="15.75" hidden="false" customHeight="false" outlineLevel="0" collapsed="false">
      <c r="M810" s="2"/>
      <c r="N810" s="10"/>
    </row>
    <row r="811" customFormat="false" ht="15.75" hidden="false" customHeight="false" outlineLevel="0" collapsed="false">
      <c r="M811" s="2"/>
      <c r="N811" s="10"/>
    </row>
    <row r="812" customFormat="false" ht="15.75" hidden="false" customHeight="false" outlineLevel="0" collapsed="false">
      <c r="M812" s="2"/>
      <c r="N812" s="10"/>
    </row>
    <row r="813" customFormat="false" ht="15.75" hidden="false" customHeight="false" outlineLevel="0" collapsed="false">
      <c r="M813" s="2"/>
      <c r="N813" s="10"/>
    </row>
    <row r="814" customFormat="false" ht="15.75" hidden="false" customHeight="false" outlineLevel="0" collapsed="false">
      <c r="M814" s="2"/>
      <c r="N814" s="10"/>
    </row>
    <row r="815" customFormat="false" ht="15.75" hidden="false" customHeight="false" outlineLevel="0" collapsed="false">
      <c r="M815" s="2"/>
      <c r="N815" s="10"/>
    </row>
    <row r="816" customFormat="false" ht="15.75" hidden="false" customHeight="false" outlineLevel="0" collapsed="false">
      <c r="M816" s="2"/>
      <c r="N816" s="10"/>
    </row>
    <row r="817" customFormat="false" ht="15.75" hidden="false" customHeight="false" outlineLevel="0" collapsed="false">
      <c r="M817" s="2"/>
      <c r="N817" s="10"/>
    </row>
    <row r="818" customFormat="false" ht="15.75" hidden="false" customHeight="false" outlineLevel="0" collapsed="false">
      <c r="M818" s="2"/>
      <c r="N818" s="10"/>
    </row>
    <row r="819" customFormat="false" ht="15.75" hidden="false" customHeight="false" outlineLevel="0" collapsed="false">
      <c r="M819" s="2"/>
      <c r="N819" s="10"/>
    </row>
    <row r="820" customFormat="false" ht="15.75" hidden="false" customHeight="false" outlineLevel="0" collapsed="false">
      <c r="M820" s="2"/>
      <c r="N820" s="10"/>
    </row>
    <row r="821" customFormat="false" ht="15.75" hidden="false" customHeight="false" outlineLevel="0" collapsed="false">
      <c r="M821" s="2"/>
      <c r="N821" s="10"/>
    </row>
    <row r="822" customFormat="false" ht="15.75" hidden="false" customHeight="false" outlineLevel="0" collapsed="false">
      <c r="M822" s="2"/>
      <c r="N822" s="10"/>
    </row>
    <row r="823" customFormat="false" ht="15.75" hidden="false" customHeight="false" outlineLevel="0" collapsed="false">
      <c r="M823" s="2"/>
      <c r="N823" s="10"/>
    </row>
    <row r="824" customFormat="false" ht="15.75" hidden="false" customHeight="false" outlineLevel="0" collapsed="false">
      <c r="M824" s="2"/>
      <c r="N824" s="10"/>
    </row>
    <row r="825" customFormat="false" ht="15.75" hidden="false" customHeight="false" outlineLevel="0" collapsed="false">
      <c r="M825" s="2"/>
      <c r="N825" s="10"/>
    </row>
    <row r="826" customFormat="false" ht="15.75" hidden="false" customHeight="false" outlineLevel="0" collapsed="false">
      <c r="M826" s="2"/>
      <c r="N826" s="10"/>
    </row>
    <row r="827" customFormat="false" ht="15.75" hidden="false" customHeight="false" outlineLevel="0" collapsed="false">
      <c r="M827" s="2"/>
      <c r="N827" s="10"/>
    </row>
    <row r="828" customFormat="false" ht="15.75" hidden="false" customHeight="false" outlineLevel="0" collapsed="false">
      <c r="M828" s="2"/>
      <c r="N828" s="10"/>
    </row>
    <row r="829" customFormat="false" ht="15.75" hidden="false" customHeight="false" outlineLevel="0" collapsed="false">
      <c r="M829" s="2"/>
      <c r="N829" s="10"/>
    </row>
    <row r="830" customFormat="false" ht="15.75" hidden="false" customHeight="false" outlineLevel="0" collapsed="false">
      <c r="M830" s="2"/>
      <c r="N830" s="10"/>
    </row>
    <row r="831" customFormat="false" ht="15.75" hidden="false" customHeight="false" outlineLevel="0" collapsed="false">
      <c r="M831" s="2"/>
      <c r="N831" s="10"/>
    </row>
    <row r="832" customFormat="false" ht="15.75" hidden="false" customHeight="false" outlineLevel="0" collapsed="false">
      <c r="M832" s="2"/>
      <c r="N832" s="10"/>
    </row>
    <row r="833" customFormat="false" ht="15.75" hidden="false" customHeight="false" outlineLevel="0" collapsed="false">
      <c r="M833" s="2"/>
      <c r="N833" s="10"/>
    </row>
    <row r="834" customFormat="false" ht="15.75" hidden="false" customHeight="false" outlineLevel="0" collapsed="false">
      <c r="M834" s="2"/>
      <c r="N834" s="10"/>
    </row>
    <row r="835" customFormat="false" ht="15.75" hidden="false" customHeight="false" outlineLevel="0" collapsed="false">
      <c r="M835" s="2"/>
      <c r="N835" s="10"/>
    </row>
    <row r="836" customFormat="false" ht="15.75" hidden="false" customHeight="false" outlineLevel="0" collapsed="false">
      <c r="M836" s="2"/>
      <c r="N836" s="10"/>
    </row>
    <row r="837" customFormat="false" ht="15.75" hidden="false" customHeight="false" outlineLevel="0" collapsed="false">
      <c r="M837" s="2"/>
      <c r="N837" s="10"/>
    </row>
    <row r="838" customFormat="false" ht="15.75" hidden="false" customHeight="false" outlineLevel="0" collapsed="false">
      <c r="M838" s="2"/>
      <c r="N838" s="10"/>
    </row>
    <row r="839" customFormat="false" ht="15.75" hidden="false" customHeight="false" outlineLevel="0" collapsed="false">
      <c r="M839" s="2"/>
      <c r="N839" s="10"/>
    </row>
    <row r="840" customFormat="false" ht="15.75" hidden="false" customHeight="false" outlineLevel="0" collapsed="false">
      <c r="M840" s="2"/>
      <c r="N840" s="10"/>
    </row>
    <row r="841" customFormat="false" ht="15.75" hidden="false" customHeight="false" outlineLevel="0" collapsed="false">
      <c r="M841" s="2"/>
      <c r="N841" s="10"/>
    </row>
    <row r="842" customFormat="false" ht="15.75" hidden="false" customHeight="false" outlineLevel="0" collapsed="false">
      <c r="M842" s="2"/>
      <c r="N842" s="10"/>
    </row>
    <row r="843" customFormat="false" ht="15.75" hidden="false" customHeight="false" outlineLevel="0" collapsed="false">
      <c r="M843" s="2"/>
      <c r="N843" s="10"/>
    </row>
    <row r="844" customFormat="false" ht="15.75" hidden="false" customHeight="false" outlineLevel="0" collapsed="false">
      <c r="M844" s="2"/>
      <c r="N844" s="10"/>
    </row>
    <row r="845" customFormat="false" ht="15.75" hidden="false" customHeight="false" outlineLevel="0" collapsed="false">
      <c r="M845" s="2"/>
      <c r="N845" s="10"/>
    </row>
    <row r="846" customFormat="false" ht="15.75" hidden="false" customHeight="false" outlineLevel="0" collapsed="false">
      <c r="M846" s="2"/>
      <c r="N846" s="10"/>
    </row>
    <row r="847" customFormat="false" ht="15.75" hidden="false" customHeight="false" outlineLevel="0" collapsed="false">
      <c r="M847" s="2"/>
      <c r="N847" s="10"/>
    </row>
    <row r="848" customFormat="false" ht="15.75" hidden="false" customHeight="false" outlineLevel="0" collapsed="false">
      <c r="M848" s="2"/>
      <c r="N848" s="10"/>
    </row>
    <row r="849" customFormat="false" ht="15.75" hidden="false" customHeight="false" outlineLevel="0" collapsed="false">
      <c r="M849" s="2"/>
      <c r="N849" s="10"/>
    </row>
    <row r="850" customFormat="false" ht="15.75" hidden="false" customHeight="false" outlineLevel="0" collapsed="false">
      <c r="M850" s="2"/>
      <c r="N850" s="10"/>
    </row>
    <row r="851" customFormat="false" ht="15.75" hidden="false" customHeight="false" outlineLevel="0" collapsed="false">
      <c r="M851" s="2"/>
      <c r="N851" s="10"/>
    </row>
    <row r="852" customFormat="false" ht="15.75" hidden="false" customHeight="false" outlineLevel="0" collapsed="false">
      <c r="M852" s="2"/>
      <c r="N852" s="10"/>
    </row>
    <row r="853" customFormat="false" ht="15.75" hidden="false" customHeight="false" outlineLevel="0" collapsed="false">
      <c r="M853" s="2"/>
      <c r="N853" s="10"/>
    </row>
    <row r="854" customFormat="false" ht="15.75" hidden="false" customHeight="false" outlineLevel="0" collapsed="false">
      <c r="M854" s="2"/>
      <c r="N854" s="10"/>
    </row>
    <row r="855" customFormat="false" ht="15.75" hidden="false" customHeight="false" outlineLevel="0" collapsed="false">
      <c r="M855" s="2"/>
      <c r="N855" s="10"/>
    </row>
    <row r="856" customFormat="false" ht="15.75" hidden="false" customHeight="false" outlineLevel="0" collapsed="false">
      <c r="M856" s="2"/>
      <c r="N856" s="10"/>
    </row>
    <row r="857" customFormat="false" ht="15.75" hidden="false" customHeight="false" outlineLevel="0" collapsed="false">
      <c r="M857" s="2"/>
      <c r="N857" s="10"/>
    </row>
    <row r="858" customFormat="false" ht="15.75" hidden="false" customHeight="false" outlineLevel="0" collapsed="false">
      <c r="M858" s="2"/>
      <c r="N858" s="10"/>
    </row>
    <row r="859" customFormat="false" ht="15.75" hidden="false" customHeight="false" outlineLevel="0" collapsed="false">
      <c r="M859" s="2"/>
      <c r="N859" s="10"/>
    </row>
    <row r="860" customFormat="false" ht="15.75" hidden="false" customHeight="false" outlineLevel="0" collapsed="false">
      <c r="M860" s="2"/>
      <c r="N860" s="10"/>
    </row>
    <row r="861" customFormat="false" ht="15.75" hidden="false" customHeight="false" outlineLevel="0" collapsed="false">
      <c r="M861" s="2"/>
      <c r="N861" s="10"/>
    </row>
    <row r="862" customFormat="false" ht="15.75" hidden="false" customHeight="false" outlineLevel="0" collapsed="false">
      <c r="M862" s="2"/>
      <c r="N862" s="10"/>
    </row>
    <row r="863" customFormat="false" ht="15.75" hidden="false" customHeight="false" outlineLevel="0" collapsed="false">
      <c r="M863" s="2"/>
      <c r="N863" s="10"/>
    </row>
    <row r="864" customFormat="false" ht="15.75" hidden="false" customHeight="false" outlineLevel="0" collapsed="false">
      <c r="M864" s="2"/>
      <c r="N864" s="10"/>
    </row>
    <row r="865" customFormat="false" ht="15.75" hidden="false" customHeight="false" outlineLevel="0" collapsed="false">
      <c r="M865" s="2"/>
      <c r="N865" s="10"/>
    </row>
    <row r="866" customFormat="false" ht="15.75" hidden="false" customHeight="false" outlineLevel="0" collapsed="false">
      <c r="M866" s="2"/>
      <c r="N866" s="10"/>
    </row>
    <row r="867" customFormat="false" ht="15.75" hidden="false" customHeight="false" outlineLevel="0" collapsed="false">
      <c r="M867" s="2"/>
      <c r="N867" s="10"/>
    </row>
    <row r="868" customFormat="false" ht="15.75" hidden="false" customHeight="false" outlineLevel="0" collapsed="false">
      <c r="M868" s="2"/>
      <c r="N868" s="10"/>
    </row>
    <row r="869" customFormat="false" ht="15.75" hidden="false" customHeight="false" outlineLevel="0" collapsed="false">
      <c r="M869" s="2"/>
      <c r="N869" s="10"/>
    </row>
    <row r="870" customFormat="false" ht="15.75" hidden="false" customHeight="false" outlineLevel="0" collapsed="false">
      <c r="M870" s="2"/>
      <c r="N870" s="10"/>
    </row>
    <row r="871" customFormat="false" ht="15.75" hidden="false" customHeight="false" outlineLevel="0" collapsed="false">
      <c r="M871" s="2"/>
      <c r="N871" s="10"/>
    </row>
    <row r="872" customFormat="false" ht="15.75" hidden="false" customHeight="false" outlineLevel="0" collapsed="false">
      <c r="M872" s="2"/>
      <c r="N872" s="10"/>
    </row>
    <row r="873" customFormat="false" ht="15.75" hidden="false" customHeight="false" outlineLevel="0" collapsed="false">
      <c r="M873" s="2"/>
      <c r="N873" s="10"/>
    </row>
    <row r="874" customFormat="false" ht="15.75" hidden="false" customHeight="false" outlineLevel="0" collapsed="false">
      <c r="M874" s="2"/>
      <c r="N874" s="10"/>
    </row>
    <row r="875" customFormat="false" ht="15.75" hidden="false" customHeight="false" outlineLevel="0" collapsed="false">
      <c r="M875" s="2"/>
      <c r="N875" s="10"/>
    </row>
    <row r="876" customFormat="false" ht="15.75" hidden="false" customHeight="false" outlineLevel="0" collapsed="false">
      <c r="M876" s="2"/>
      <c r="N876" s="10"/>
    </row>
    <row r="877" customFormat="false" ht="15.75" hidden="false" customHeight="false" outlineLevel="0" collapsed="false">
      <c r="M877" s="2"/>
      <c r="N877" s="10"/>
    </row>
    <row r="878" customFormat="false" ht="15.75" hidden="false" customHeight="false" outlineLevel="0" collapsed="false">
      <c r="M878" s="2"/>
      <c r="N878" s="10"/>
    </row>
    <row r="879" customFormat="false" ht="15.75" hidden="false" customHeight="false" outlineLevel="0" collapsed="false">
      <c r="M879" s="2"/>
      <c r="N879" s="10"/>
    </row>
    <row r="880" customFormat="false" ht="15.75" hidden="false" customHeight="false" outlineLevel="0" collapsed="false">
      <c r="M880" s="2"/>
      <c r="N880" s="10"/>
    </row>
    <row r="881" customFormat="false" ht="15.75" hidden="false" customHeight="false" outlineLevel="0" collapsed="false">
      <c r="M881" s="2"/>
      <c r="N881" s="10"/>
    </row>
    <row r="882" customFormat="false" ht="15.75" hidden="false" customHeight="false" outlineLevel="0" collapsed="false">
      <c r="M882" s="2"/>
      <c r="N882" s="10"/>
    </row>
    <row r="883" customFormat="false" ht="15.75" hidden="false" customHeight="false" outlineLevel="0" collapsed="false">
      <c r="M883" s="2"/>
      <c r="N883" s="10"/>
    </row>
    <row r="884" customFormat="false" ht="15.75" hidden="false" customHeight="false" outlineLevel="0" collapsed="false">
      <c r="M884" s="2"/>
      <c r="N884" s="10"/>
    </row>
    <row r="885" customFormat="false" ht="15.75" hidden="false" customHeight="false" outlineLevel="0" collapsed="false">
      <c r="M885" s="2"/>
      <c r="N885" s="10"/>
    </row>
    <row r="886" customFormat="false" ht="15.75" hidden="false" customHeight="false" outlineLevel="0" collapsed="false">
      <c r="M886" s="2"/>
      <c r="N886" s="10"/>
    </row>
    <row r="887" customFormat="false" ht="15.75" hidden="false" customHeight="false" outlineLevel="0" collapsed="false">
      <c r="M887" s="2"/>
      <c r="N887" s="10"/>
    </row>
    <row r="888" customFormat="false" ht="15.75" hidden="false" customHeight="false" outlineLevel="0" collapsed="false">
      <c r="M888" s="2"/>
      <c r="N888" s="10"/>
    </row>
    <row r="889" customFormat="false" ht="15.75" hidden="false" customHeight="false" outlineLevel="0" collapsed="false">
      <c r="M889" s="2"/>
      <c r="N889" s="10"/>
    </row>
    <row r="890" customFormat="false" ht="15.75" hidden="false" customHeight="false" outlineLevel="0" collapsed="false">
      <c r="M890" s="2"/>
      <c r="N890" s="10"/>
    </row>
    <row r="891" customFormat="false" ht="15.75" hidden="false" customHeight="false" outlineLevel="0" collapsed="false">
      <c r="M891" s="2"/>
      <c r="N891" s="10"/>
    </row>
    <row r="892" customFormat="false" ht="15.75" hidden="false" customHeight="false" outlineLevel="0" collapsed="false">
      <c r="M892" s="2"/>
      <c r="N892" s="10"/>
    </row>
    <row r="893" customFormat="false" ht="15.75" hidden="false" customHeight="false" outlineLevel="0" collapsed="false">
      <c r="M893" s="2"/>
      <c r="N893" s="10"/>
    </row>
    <row r="894" customFormat="false" ht="15.75" hidden="false" customHeight="false" outlineLevel="0" collapsed="false">
      <c r="M894" s="2"/>
      <c r="N894" s="10"/>
    </row>
    <row r="895" customFormat="false" ht="15.75" hidden="false" customHeight="false" outlineLevel="0" collapsed="false">
      <c r="M895" s="2"/>
      <c r="N895" s="10"/>
    </row>
    <row r="896" customFormat="false" ht="15.75" hidden="false" customHeight="false" outlineLevel="0" collapsed="false">
      <c r="M896" s="2"/>
      <c r="N896" s="10"/>
    </row>
    <row r="897" customFormat="false" ht="15.75" hidden="false" customHeight="false" outlineLevel="0" collapsed="false">
      <c r="M897" s="2"/>
      <c r="N897" s="10"/>
    </row>
    <row r="898" customFormat="false" ht="15.75" hidden="false" customHeight="false" outlineLevel="0" collapsed="false">
      <c r="M898" s="2"/>
      <c r="N898" s="10"/>
    </row>
    <row r="899" customFormat="false" ht="15.75" hidden="false" customHeight="false" outlineLevel="0" collapsed="false">
      <c r="M899" s="2"/>
      <c r="N899" s="10"/>
    </row>
    <row r="900" customFormat="false" ht="15.75" hidden="false" customHeight="false" outlineLevel="0" collapsed="false">
      <c r="M900" s="2"/>
      <c r="N900" s="10"/>
    </row>
    <row r="901" customFormat="false" ht="15.75" hidden="false" customHeight="false" outlineLevel="0" collapsed="false">
      <c r="M901" s="2"/>
      <c r="N901" s="10"/>
    </row>
    <row r="902" customFormat="false" ht="15.75" hidden="false" customHeight="false" outlineLevel="0" collapsed="false">
      <c r="M902" s="2"/>
      <c r="N902" s="10"/>
    </row>
    <row r="903" customFormat="false" ht="15.75" hidden="false" customHeight="false" outlineLevel="0" collapsed="false">
      <c r="M903" s="2"/>
      <c r="N903" s="10"/>
    </row>
    <row r="904" customFormat="false" ht="15.75" hidden="false" customHeight="false" outlineLevel="0" collapsed="false">
      <c r="M904" s="2"/>
      <c r="N904" s="10"/>
    </row>
    <row r="905" customFormat="false" ht="15.75" hidden="false" customHeight="false" outlineLevel="0" collapsed="false">
      <c r="M905" s="2"/>
      <c r="N905" s="10"/>
    </row>
    <row r="906" customFormat="false" ht="15.75" hidden="false" customHeight="false" outlineLevel="0" collapsed="false">
      <c r="M906" s="2"/>
      <c r="N906" s="10"/>
    </row>
    <row r="907" customFormat="false" ht="15.75" hidden="false" customHeight="false" outlineLevel="0" collapsed="false">
      <c r="M907" s="2"/>
      <c r="N907" s="10"/>
    </row>
    <row r="908" customFormat="false" ht="15.75" hidden="false" customHeight="false" outlineLevel="0" collapsed="false">
      <c r="M908" s="2"/>
      <c r="N908" s="10"/>
    </row>
    <row r="909" customFormat="false" ht="15.75" hidden="false" customHeight="false" outlineLevel="0" collapsed="false">
      <c r="M909" s="2"/>
      <c r="N909" s="10"/>
    </row>
    <row r="910" customFormat="false" ht="15.75" hidden="false" customHeight="false" outlineLevel="0" collapsed="false">
      <c r="M910" s="2"/>
      <c r="N910" s="10"/>
    </row>
    <row r="911" customFormat="false" ht="15.75" hidden="false" customHeight="false" outlineLevel="0" collapsed="false">
      <c r="M911" s="2"/>
      <c r="N911" s="10"/>
    </row>
    <row r="912" customFormat="false" ht="15.75" hidden="false" customHeight="false" outlineLevel="0" collapsed="false">
      <c r="M912" s="2"/>
      <c r="N912" s="10"/>
    </row>
    <row r="913" customFormat="false" ht="15.75" hidden="false" customHeight="false" outlineLevel="0" collapsed="false">
      <c r="M913" s="2"/>
      <c r="N913" s="10"/>
    </row>
    <row r="914" customFormat="false" ht="15.75" hidden="false" customHeight="false" outlineLevel="0" collapsed="false">
      <c r="M914" s="2"/>
      <c r="N914" s="10"/>
    </row>
    <row r="915" customFormat="false" ht="15.75" hidden="false" customHeight="false" outlineLevel="0" collapsed="false">
      <c r="M915" s="2"/>
      <c r="N915" s="10"/>
    </row>
    <row r="916" customFormat="false" ht="15.75" hidden="false" customHeight="false" outlineLevel="0" collapsed="false">
      <c r="M916" s="2"/>
      <c r="N916" s="10"/>
    </row>
    <row r="917" customFormat="false" ht="15.75" hidden="false" customHeight="false" outlineLevel="0" collapsed="false">
      <c r="M917" s="2"/>
      <c r="N917" s="10"/>
    </row>
    <row r="918" customFormat="false" ht="15.75" hidden="false" customHeight="false" outlineLevel="0" collapsed="false">
      <c r="M918" s="2"/>
      <c r="N918" s="10"/>
    </row>
    <row r="919" customFormat="false" ht="15.75" hidden="false" customHeight="false" outlineLevel="0" collapsed="false">
      <c r="M919" s="2"/>
      <c r="N919" s="10"/>
    </row>
    <row r="920" customFormat="false" ht="15.75" hidden="false" customHeight="false" outlineLevel="0" collapsed="false">
      <c r="M920" s="2"/>
      <c r="N920" s="10"/>
    </row>
    <row r="921" customFormat="false" ht="15.75" hidden="false" customHeight="false" outlineLevel="0" collapsed="false">
      <c r="M921" s="2"/>
      <c r="N921" s="10"/>
    </row>
    <row r="922" customFormat="false" ht="15.75" hidden="false" customHeight="false" outlineLevel="0" collapsed="false">
      <c r="M922" s="2"/>
      <c r="N922" s="10"/>
    </row>
    <row r="923" customFormat="false" ht="15.75" hidden="false" customHeight="false" outlineLevel="0" collapsed="false">
      <c r="M923" s="2"/>
      <c r="N923" s="10"/>
    </row>
    <row r="924" customFormat="false" ht="15.75" hidden="false" customHeight="false" outlineLevel="0" collapsed="false">
      <c r="M924" s="2"/>
      <c r="N924" s="10"/>
    </row>
    <row r="925" customFormat="false" ht="15.75" hidden="false" customHeight="false" outlineLevel="0" collapsed="false">
      <c r="M925" s="2"/>
      <c r="N925" s="10"/>
    </row>
    <row r="926" customFormat="false" ht="15.75" hidden="false" customHeight="false" outlineLevel="0" collapsed="false">
      <c r="M926" s="2"/>
      <c r="N926" s="10"/>
    </row>
    <row r="927" customFormat="false" ht="15.75" hidden="false" customHeight="false" outlineLevel="0" collapsed="false">
      <c r="M927" s="2"/>
      <c r="N927" s="10"/>
    </row>
    <row r="928" customFormat="false" ht="15.75" hidden="false" customHeight="false" outlineLevel="0" collapsed="false">
      <c r="M928" s="2"/>
      <c r="N928" s="10"/>
    </row>
    <row r="929" customFormat="false" ht="15.75" hidden="false" customHeight="false" outlineLevel="0" collapsed="false">
      <c r="M929" s="2"/>
      <c r="N929" s="10"/>
    </row>
    <row r="930" customFormat="false" ht="15.75" hidden="false" customHeight="false" outlineLevel="0" collapsed="false">
      <c r="M930" s="2"/>
      <c r="N930" s="10"/>
    </row>
    <row r="931" customFormat="false" ht="15.75" hidden="false" customHeight="false" outlineLevel="0" collapsed="false">
      <c r="M931" s="2"/>
      <c r="N931" s="10"/>
    </row>
    <row r="932" customFormat="false" ht="15.75" hidden="false" customHeight="false" outlineLevel="0" collapsed="false">
      <c r="M932" s="2"/>
      <c r="N932" s="10"/>
    </row>
    <row r="933" customFormat="false" ht="15.75" hidden="false" customHeight="false" outlineLevel="0" collapsed="false">
      <c r="M933" s="2"/>
      <c r="N933" s="10"/>
    </row>
    <row r="934" customFormat="false" ht="15.75" hidden="false" customHeight="false" outlineLevel="0" collapsed="false">
      <c r="M934" s="2"/>
      <c r="N934" s="10"/>
    </row>
    <row r="935" customFormat="false" ht="15.75" hidden="false" customHeight="false" outlineLevel="0" collapsed="false">
      <c r="M935" s="2"/>
      <c r="N935" s="10"/>
    </row>
    <row r="936" customFormat="false" ht="15.75" hidden="false" customHeight="false" outlineLevel="0" collapsed="false">
      <c r="M936" s="2"/>
      <c r="N936" s="10"/>
    </row>
    <row r="937" customFormat="false" ht="15.75" hidden="false" customHeight="false" outlineLevel="0" collapsed="false">
      <c r="M937" s="2"/>
      <c r="N937" s="10"/>
    </row>
    <row r="938" customFormat="false" ht="15.75" hidden="false" customHeight="false" outlineLevel="0" collapsed="false">
      <c r="M938" s="2"/>
      <c r="N938" s="10"/>
    </row>
    <row r="939" customFormat="false" ht="15.75" hidden="false" customHeight="false" outlineLevel="0" collapsed="false">
      <c r="M939" s="2"/>
      <c r="N939" s="10"/>
    </row>
    <row r="940" customFormat="false" ht="15.75" hidden="false" customHeight="false" outlineLevel="0" collapsed="false">
      <c r="M940" s="2"/>
      <c r="N940" s="10"/>
    </row>
    <row r="941" customFormat="false" ht="15.75" hidden="false" customHeight="false" outlineLevel="0" collapsed="false">
      <c r="M941" s="2"/>
      <c r="N941" s="10"/>
    </row>
    <row r="942" customFormat="false" ht="15.75" hidden="false" customHeight="false" outlineLevel="0" collapsed="false">
      <c r="M942" s="2"/>
      <c r="N942" s="10"/>
    </row>
    <row r="943" customFormat="false" ht="15.75" hidden="false" customHeight="false" outlineLevel="0" collapsed="false">
      <c r="M943" s="2"/>
      <c r="N943" s="10"/>
    </row>
    <row r="944" customFormat="false" ht="15.75" hidden="false" customHeight="false" outlineLevel="0" collapsed="false">
      <c r="M944" s="2"/>
      <c r="N944" s="10"/>
    </row>
    <row r="945" customFormat="false" ht="15.75" hidden="false" customHeight="false" outlineLevel="0" collapsed="false">
      <c r="M945" s="2"/>
      <c r="N945" s="10"/>
    </row>
    <row r="946" customFormat="false" ht="15.75" hidden="false" customHeight="false" outlineLevel="0" collapsed="false">
      <c r="M946" s="2"/>
      <c r="N946" s="10"/>
    </row>
    <row r="947" customFormat="false" ht="15.75" hidden="false" customHeight="false" outlineLevel="0" collapsed="false">
      <c r="M947" s="2"/>
      <c r="N947" s="10"/>
    </row>
    <row r="948" customFormat="false" ht="15.75" hidden="false" customHeight="false" outlineLevel="0" collapsed="false">
      <c r="M948" s="2"/>
      <c r="N948" s="10"/>
    </row>
    <row r="949" customFormat="false" ht="15.75" hidden="false" customHeight="false" outlineLevel="0" collapsed="false">
      <c r="M949" s="2"/>
      <c r="N949" s="10"/>
    </row>
    <row r="950" customFormat="false" ht="15.75" hidden="false" customHeight="false" outlineLevel="0" collapsed="false">
      <c r="M950" s="2"/>
      <c r="N950" s="10"/>
    </row>
    <row r="951" customFormat="false" ht="15.75" hidden="false" customHeight="false" outlineLevel="0" collapsed="false">
      <c r="M951" s="2"/>
      <c r="N951" s="10"/>
    </row>
    <row r="952" customFormat="false" ht="15.75" hidden="false" customHeight="false" outlineLevel="0" collapsed="false">
      <c r="M952" s="2"/>
      <c r="N952" s="10"/>
    </row>
    <row r="953" customFormat="false" ht="15.75" hidden="false" customHeight="false" outlineLevel="0" collapsed="false">
      <c r="M953" s="2"/>
      <c r="N953" s="10"/>
    </row>
    <row r="954" customFormat="false" ht="15.75" hidden="false" customHeight="false" outlineLevel="0" collapsed="false">
      <c r="M954" s="2"/>
      <c r="N954" s="10"/>
    </row>
    <row r="955" customFormat="false" ht="15.75" hidden="false" customHeight="false" outlineLevel="0" collapsed="false">
      <c r="M955" s="2"/>
      <c r="N955" s="10"/>
    </row>
    <row r="956" customFormat="false" ht="15.75" hidden="false" customHeight="false" outlineLevel="0" collapsed="false">
      <c r="M956" s="2"/>
      <c r="N956" s="10"/>
    </row>
    <row r="957" customFormat="false" ht="15.75" hidden="false" customHeight="false" outlineLevel="0" collapsed="false">
      <c r="M957" s="2"/>
      <c r="N957" s="10"/>
    </row>
    <row r="958" customFormat="false" ht="15.75" hidden="false" customHeight="false" outlineLevel="0" collapsed="false">
      <c r="M958" s="2"/>
      <c r="N958" s="10"/>
    </row>
    <row r="959" customFormat="false" ht="15.75" hidden="false" customHeight="false" outlineLevel="0" collapsed="false">
      <c r="M959" s="2"/>
      <c r="N959" s="10"/>
    </row>
    <row r="960" customFormat="false" ht="15.75" hidden="false" customHeight="false" outlineLevel="0" collapsed="false">
      <c r="M960" s="2"/>
      <c r="N960" s="10"/>
    </row>
    <row r="961" customFormat="false" ht="15.75" hidden="false" customHeight="false" outlineLevel="0" collapsed="false">
      <c r="M961" s="2"/>
      <c r="N961" s="10"/>
    </row>
    <row r="962" customFormat="false" ht="15.75" hidden="false" customHeight="false" outlineLevel="0" collapsed="false">
      <c r="M962" s="2"/>
      <c r="N962" s="10"/>
    </row>
    <row r="963" customFormat="false" ht="15.75" hidden="false" customHeight="false" outlineLevel="0" collapsed="false">
      <c r="M963" s="2"/>
      <c r="N963" s="10"/>
    </row>
    <row r="964" customFormat="false" ht="15.75" hidden="false" customHeight="false" outlineLevel="0" collapsed="false">
      <c r="M964" s="2"/>
      <c r="N964" s="10"/>
    </row>
    <row r="965" customFormat="false" ht="15.75" hidden="false" customHeight="false" outlineLevel="0" collapsed="false">
      <c r="M965" s="2"/>
      <c r="N965" s="10"/>
    </row>
    <row r="966" customFormat="false" ht="15.75" hidden="false" customHeight="false" outlineLevel="0" collapsed="false">
      <c r="M966" s="2"/>
      <c r="N966" s="10"/>
    </row>
    <row r="967" customFormat="false" ht="15.75" hidden="false" customHeight="false" outlineLevel="0" collapsed="false">
      <c r="M967" s="2"/>
      <c r="N967" s="10"/>
    </row>
    <row r="968" customFormat="false" ht="15.75" hidden="false" customHeight="false" outlineLevel="0" collapsed="false">
      <c r="M968" s="2"/>
      <c r="N968" s="10"/>
    </row>
    <row r="969" customFormat="false" ht="15.75" hidden="false" customHeight="false" outlineLevel="0" collapsed="false">
      <c r="M969" s="2"/>
      <c r="N969" s="10"/>
    </row>
    <row r="970" customFormat="false" ht="15.75" hidden="false" customHeight="false" outlineLevel="0" collapsed="false">
      <c r="M970" s="2"/>
      <c r="N970" s="10"/>
    </row>
    <row r="971" customFormat="false" ht="15.75" hidden="false" customHeight="false" outlineLevel="0" collapsed="false">
      <c r="M971" s="2"/>
      <c r="N971" s="10"/>
    </row>
    <row r="972" customFormat="false" ht="15.75" hidden="false" customHeight="false" outlineLevel="0" collapsed="false">
      <c r="M972" s="2"/>
      <c r="N972" s="10"/>
    </row>
    <row r="973" customFormat="false" ht="15.75" hidden="false" customHeight="false" outlineLevel="0" collapsed="false">
      <c r="M973" s="2"/>
      <c r="N973" s="10"/>
    </row>
    <row r="974" customFormat="false" ht="15.75" hidden="false" customHeight="false" outlineLevel="0" collapsed="false">
      <c r="M974" s="2"/>
      <c r="N974" s="10"/>
    </row>
    <row r="975" customFormat="false" ht="15.75" hidden="false" customHeight="false" outlineLevel="0" collapsed="false">
      <c r="M975" s="2"/>
      <c r="N975" s="10"/>
    </row>
    <row r="976" customFormat="false" ht="15.75" hidden="false" customHeight="false" outlineLevel="0" collapsed="false">
      <c r="M976" s="2"/>
      <c r="N976" s="10"/>
    </row>
    <row r="977" customFormat="false" ht="15.75" hidden="false" customHeight="false" outlineLevel="0" collapsed="false">
      <c r="M977" s="2"/>
      <c r="N977" s="10"/>
    </row>
    <row r="978" customFormat="false" ht="15.75" hidden="false" customHeight="false" outlineLevel="0" collapsed="false">
      <c r="M978" s="2"/>
      <c r="N978" s="10"/>
    </row>
    <row r="979" customFormat="false" ht="15.75" hidden="false" customHeight="false" outlineLevel="0" collapsed="false">
      <c r="M979" s="2"/>
      <c r="N979" s="10"/>
    </row>
    <row r="980" customFormat="false" ht="15.75" hidden="false" customHeight="false" outlineLevel="0" collapsed="false">
      <c r="M980" s="2"/>
      <c r="N980" s="10"/>
    </row>
    <row r="981" customFormat="false" ht="15.75" hidden="false" customHeight="false" outlineLevel="0" collapsed="false">
      <c r="M981" s="2"/>
      <c r="N981" s="10"/>
    </row>
    <row r="982" customFormat="false" ht="15.75" hidden="false" customHeight="false" outlineLevel="0" collapsed="false">
      <c r="M982" s="2"/>
      <c r="N982" s="10"/>
    </row>
    <row r="983" customFormat="false" ht="15.75" hidden="false" customHeight="false" outlineLevel="0" collapsed="false">
      <c r="M983" s="2"/>
      <c r="N983" s="10"/>
    </row>
    <row r="984" customFormat="false" ht="15.75" hidden="false" customHeight="false" outlineLevel="0" collapsed="false">
      <c r="M984" s="2"/>
      <c r="N984" s="10"/>
    </row>
    <row r="985" customFormat="false" ht="15.75" hidden="false" customHeight="false" outlineLevel="0" collapsed="false">
      <c r="M985" s="2"/>
      <c r="N985" s="10"/>
    </row>
    <row r="986" customFormat="false" ht="15.75" hidden="false" customHeight="false" outlineLevel="0" collapsed="false">
      <c r="M986" s="2"/>
      <c r="N986" s="10"/>
    </row>
    <row r="987" customFormat="false" ht="15.75" hidden="false" customHeight="false" outlineLevel="0" collapsed="false">
      <c r="M987" s="2"/>
      <c r="N987" s="10"/>
    </row>
    <row r="988" customFormat="false" ht="15.75" hidden="false" customHeight="false" outlineLevel="0" collapsed="false">
      <c r="M988" s="2"/>
      <c r="N988" s="10"/>
    </row>
    <row r="989" customFormat="false" ht="15.75" hidden="false" customHeight="false" outlineLevel="0" collapsed="false">
      <c r="M989" s="2"/>
      <c r="N989" s="10"/>
    </row>
    <row r="990" customFormat="false" ht="15.75" hidden="false" customHeight="false" outlineLevel="0" collapsed="false">
      <c r="M990" s="2"/>
      <c r="N990" s="10"/>
    </row>
    <row r="991" customFormat="false" ht="15.75" hidden="false" customHeight="false" outlineLevel="0" collapsed="false">
      <c r="M991" s="2"/>
      <c r="N991" s="10"/>
    </row>
    <row r="992" customFormat="false" ht="15.75" hidden="false" customHeight="false" outlineLevel="0" collapsed="false">
      <c r="M992" s="2"/>
      <c r="N992" s="10"/>
    </row>
    <row r="993" customFormat="false" ht="15.75" hidden="false" customHeight="false" outlineLevel="0" collapsed="false">
      <c r="M993" s="2"/>
      <c r="N993" s="10"/>
    </row>
    <row r="994" customFormat="false" ht="15.75" hidden="false" customHeight="false" outlineLevel="0" collapsed="false">
      <c r="M994" s="2"/>
      <c r="N994" s="10"/>
    </row>
    <row r="995" customFormat="false" ht="15.75" hidden="false" customHeight="false" outlineLevel="0" collapsed="false">
      <c r="M995" s="2"/>
      <c r="N995" s="10"/>
    </row>
    <row r="996" customFormat="false" ht="15.75" hidden="false" customHeight="false" outlineLevel="0" collapsed="false">
      <c r="M996" s="2"/>
      <c r="N996" s="10"/>
    </row>
    <row r="997" customFormat="false" ht="15.75" hidden="false" customHeight="false" outlineLevel="0" collapsed="false">
      <c r="M997" s="2"/>
      <c r="N997" s="10"/>
    </row>
    <row r="998" customFormat="false" ht="15.75" hidden="false" customHeight="false" outlineLevel="0" collapsed="false">
      <c r="M998" s="2"/>
      <c r="N998" s="10"/>
    </row>
    <row r="999" customFormat="false" ht="15.75" hidden="false" customHeight="false" outlineLevel="0" collapsed="false">
      <c r="M999" s="2"/>
      <c r="N999" s="10"/>
    </row>
    <row r="1000" customFormat="false" ht="15.75" hidden="false" customHeight="false" outlineLevel="0" collapsed="false">
      <c r="M1000" s="2"/>
      <c r="N1000" s="10"/>
    </row>
    <row r="1001" customFormat="false" ht="15.75" hidden="false" customHeight="false" outlineLevel="0" collapsed="false">
      <c r="M1001" s="2"/>
      <c r="N1001" s="10"/>
    </row>
    <row r="1002" customFormat="false" ht="15.75" hidden="false" customHeight="false" outlineLevel="0" collapsed="false">
      <c r="M1002" s="2"/>
      <c r="N1002" s="10"/>
    </row>
    <row r="1003" customFormat="false" ht="15.75" hidden="false" customHeight="false" outlineLevel="0" collapsed="false">
      <c r="M1003" s="2"/>
      <c r="N1003" s="10"/>
    </row>
    <row r="1004" customFormat="false" ht="15.75" hidden="false" customHeight="false" outlineLevel="0" collapsed="false">
      <c r="M1004" s="2"/>
      <c r="N1004" s="10"/>
    </row>
    <row r="1005" customFormat="false" ht="15.75" hidden="false" customHeight="false" outlineLevel="0" collapsed="false">
      <c r="M1005" s="2"/>
      <c r="N1005" s="10"/>
    </row>
    <row r="1006" customFormat="false" ht="15.75" hidden="false" customHeight="false" outlineLevel="0" collapsed="false">
      <c r="M1006" s="2"/>
      <c r="N1006" s="10"/>
    </row>
    <row r="1007" customFormat="false" ht="15.75" hidden="false" customHeight="false" outlineLevel="0" collapsed="false">
      <c r="M1007" s="2"/>
      <c r="N1007" s="10"/>
    </row>
    <row r="1008" customFormat="false" ht="15.75" hidden="false" customHeight="false" outlineLevel="0" collapsed="false">
      <c r="M1008" s="2"/>
      <c r="N1008" s="10"/>
    </row>
    <row r="1009" customFormat="false" ht="15.75" hidden="false" customHeight="false" outlineLevel="0" collapsed="false">
      <c r="M1009" s="2"/>
      <c r="N1009" s="10"/>
    </row>
    <row r="1010" customFormat="false" ht="15.75" hidden="false" customHeight="false" outlineLevel="0" collapsed="false">
      <c r="M1010" s="2"/>
      <c r="N1010" s="10"/>
    </row>
    <row r="1011" customFormat="false" ht="15.75" hidden="false" customHeight="false" outlineLevel="0" collapsed="false">
      <c r="M1011" s="2"/>
      <c r="N1011" s="10"/>
    </row>
    <row r="1012" customFormat="false" ht="15.75" hidden="false" customHeight="false" outlineLevel="0" collapsed="false">
      <c r="M1012" s="2"/>
      <c r="N1012" s="10"/>
    </row>
  </sheetData>
  <autoFilter ref="A1:K23"/>
  <mergeCells count="2">
    <mergeCell ref="D25:K25"/>
    <mergeCell ref="D46:I46"/>
  </mergeCells>
  <conditionalFormatting sqref="D2:D24 D26:D44">
    <cfRule type="colorScale" priority="2">
      <colorScale>
        <cfvo type="formula" val="0"/>
        <cfvo type="formula" val="0.5"/>
        <cfvo type="formula" val="1"/>
        <color rgb="FFFFFFFF"/>
        <color rgb="FFF3BEB9"/>
        <color rgb="FFE67C73"/>
      </colorScale>
    </cfRule>
  </conditionalFormatting>
  <conditionalFormatting sqref="E2:J23 E26:J44">
    <cfRule type="colorScale" priority="3">
      <colorScale>
        <cfvo type="formula" val="1"/>
        <cfvo type="formula" val="3"/>
        <cfvo type="formula" val="5"/>
        <color rgb="FFEA9999"/>
        <color rgb="FFFFE599"/>
        <color rgb="FF9FC5E8"/>
      </colorScale>
    </cfRule>
  </conditionalFormatting>
  <conditionalFormatting sqref="E2:J23">
    <cfRule type="expression" priority="4" aboveAverage="0" equalAverage="0" bottom="0" percent="0" rank="0" text="" dxfId="67">
      <formula>E2=MAX(E$4:E$23)</formula>
    </cfRule>
  </conditionalFormatting>
  <conditionalFormatting sqref="E36:J40">
    <cfRule type="expression" priority="5" aboveAverage="0" equalAverage="0" bottom="0" percent="0" rank="0" text="" dxfId="67">
      <formula>E36=MAX(E$36:E$40)</formula>
    </cfRule>
  </conditionalFormatting>
  <conditionalFormatting sqref="E41:J44">
    <cfRule type="expression" priority="6" aboveAverage="0" equalAverage="0" bottom="0" percent="0" rank="0" text="" dxfId="67">
      <formula>E41=MAX(E$41:E$44)</formula>
    </cfRule>
  </conditionalFormatting>
  <conditionalFormatting sqref="N2:R11">
    <cfRule type="colorScale" priority="7">
      <colorScale>
        <cfvo type="formula" val="-1"/>
        <cfvo type="formula" val="0"/>
        <cfvo type="formula" val="1"/>
        <color rgb="FFE67C73"/>
        <color rgb="FFFFFFFF"/>
        <color rgb="FF57BB8A"/>
      </colorScale>
    </cfRule>
  </conditionalFormatting>
  <conditionalFormatting sqref="D47:D65">
    <cfRule type="colorScale" priority="8">
      <colorScale>
        <cfvo type="min" val="0"/>
        <cfvo type="max" val="0"/>
        <color rgb="FFFFFFFF"/>
        <color rgb="FFE67C73"/>
      </colorScale>
    </cfRule>
  </conditionalFormatting>
  <conditionalFormatting sqref="E47:I65">
    <cfRule type="colorScale" priority="9">
      <colorScale>
        <cfvo type="min" val="0"/>
        <cfvo type="percent" val="50"/>
        <cfvo type="max" val="0"/>
        <color rgb="FFFFFFFF"/>
        <color rgb="FFF3BEB9"/>
        <color rgb="FFE67C73"/>
      </colorScale>
    </cfRule>
  </conditionalFormatting>
  <conditionalFormatting sqref="E26:J35">
    <cfRule type="expression" priority="10" aboveAverage="0" equalAverage="0" bottom="0" percent="0" rank="0" text="" dxfId="67">
      <formula>E26=MAX(E$26:E$30)</formula>
    </cfRule>
  </conditionalFormatting>
  <dataValidations count="1">
    <dataValidation allowBlank="true" errorStyle="stop" operator="between" showDropDown="false" showErrorMessage="true" showInputMessage="false" sqref="C2:C23 C41:C44 C62:C65" type="list">
      <formula1>"5W1H,Base,CoT,tldr,Heading,Jeremy,Begoña,Alba,Naiara"</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5" activePane="bottomLeft" state="frozen"/>
      <selection pane="topLeft" activeCell="A1" activeCellId="0" sqref="A1"/>
      <selection pane="bottomLeft" activeCell="A52" activeCellId="0" sqref="A52:A101"/>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28</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16</v>
      </c>
      <c r="D2" s="49" t="s">
        <v>32</v>
      </c>
      <c r="E2" s="50" t="n">
        <f aca="false">IFERROR(__xludf.dummyfunction("COUNTA(SPLIT(D2,"" ""))/COUNTA(SPLIT($B$2,"" ""))"),0.0544135429262394)</f>
        <v>0.05441354293</v>
      </c>
      <c r="F2" s="6" t="n">
        <v>4</v>
      </c>
      <c r="G2" s="6" t="n">
        <v>5</v>
      </c>
      <c r="H2" s="6" t="n">
        <v>5</v>
      </c>
      <c r="I2" s="6" t="n">
        <v>4</v>
      </c>
      <c r="J2" s="6" t="n">
        <v>3</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33</v>
      </c>
      <c r="D3" s="49" t="s">
        <v>34</v>
      </c>
      <c r="E3" s="52" t="n">
        <f aca="false">IFERROR(__xludf.dummyfunction("COUNTA(SPLIT(D3,"" ""))/COUNTA(SPLIT($B$2,"" ""))"),0.100362756952842)</f>
        <v>0.100362757</v>
      </c>
      <c r="F3" s="6"/>
      <c r="G3" s="6"/>
      <c r="H3" s="6"/>
      <c r="I3" s="6"/>
      <c r="J3" s="6"/>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c r="D4" s="49"/>
      <c r="E4" s="52" t="n">
        <f aca="false">IFERROR(__xludf.dummyfunction("COUNTA(SPLIT(D4,"" ""))/COUNTA(SPLIT($B$2,"" ""))"),0.00120918984280532)</f>
        <v>0.001209189843</v>
      </c>
      <c r="F4" s="6"/>
      <c r="G4" s="6"/>
      <c r="H4" s="6"/>
      <c r="I4" s="6"/>
      <c r="J4" s="6"/>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c r="D5" s="49"/>
      <c r="E5" s="52" t="n">
        <f aca="false">IFERROR(__xludf.dummyfunction("COUNTA(SPLIT(D5,"" ""))/COUNTA(SPLIT($B$2,"" ""))"),0.00120918984280532)</f>
        <v>0.001209189843</v>
      </c>
      <c r="F5" s="6"/>
      <c r="G5" s="6"/>
      <c r="H5" s="6"/>
      <c r="I5" s="6"/>
      <c r="J5" s="6"/>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16</v>
      </c>
      <c r="D7" s="57" t="s">
        <v>37</v>
      </c>
      <c r="E7" s="58" t="n">
        <f aca="false">IFERROR(__xludf.dummyfunction("COUNTA(SPLIT(D7,"" ""))/COUNTA(SPLIT($B$7,"" ""))"),0.173228346456693)</f>
        <v>0.1732283465</v>
      </c>
      <c r="F7" s="56" t="n">
        <v>3</v>
      </c>
      <c r="G7" s="56" t="n">
        <v>5</v>
      </c>
      <c r="H7" s="56" t="n">
        <v>5</v>
      </c>
      <c r="I7" s="56" t="n">
        <v>3</v>
      </c>
      <c r="J7" s="56" t="n">
        <v>4</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33</v>
      </c>
      <c r="D8" s="49" t="s">
        <v>38</v>
      </c>
      <c r="E8" s="52" t="n">
        <f aca="false">IFERROR(__xludf.dummyfunction("COUNTA(SPLIT(D8,"" ""))/COUNTA(SPLIT($B$7,"" ""))"),0.188976377952756)</f>
        <v>0.188976378</v>
      </c>
      <c r="F8" s="6"/>
      <c r="G8" s="6"/>
      <c r="H8" s="6"/>
      <c r="I8" s="6"/>
      <c r="J8" s="6"/>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c r="D9" s="49"/>
      <c r="E9" s="52" t="n">
        <f aca="false">IFERROR(__xludf.dummyfunction("COUNTA(SPLIT(D9,"" ""))/COUNTA(SPLIT($B$7,"" ""))"),0.0078740157480315)</f>
        <v>0.007874015748</v>
      </c>
      <c r="F9" s="6"/>
      <c r="G9" s="6"/>
      <c r="H9" s="6"/>
      <c r="I9" s="6"/>
      <c r="J9" s="6"/>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c r="D10" s="49"/>
      <c r="E10" s="52" t="n">
        <f aca="false">IFERROR(__xludf.dummyfunction("COUNTA(SPLIT(D10,"" ""))/COUNTA(SPLIT($B$7,"" ""))"),0.0078740157480315)</f>
        <v>0.007874015748</v>
      </c>
      <c r="F10" s="6"/>
      <c r="G10" s="6"/>
      <c r="H10" s="6"/>
      <c r="I10" s="6"/>
      <c r="J10" s="6"/>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60" t="s">
        <v>39</v>
      </c>
      <c r="B12" s="55" t="s">
        <v>40</v>
      </c>
      <c r="C12" s="56" t="s">
        <v>16</v>
      </c>
      <c r="D12" s="57" t="s">
        <v>41</v>
      </c>
      <c r="E12" s="61" t="n">
        <f aca="false">IFERROR(__xludf.dummyfunction("COUNTA(SPLIT(D12,"" ""))/COUNTA(SPLIT($B$12,"" ""))"),0.0578947368421053)</f>
        <v>0.05789473684</v>
      </c>
      <c r="F12" s="56" t="n">
        <v>3</v>
      </c>
      <c r="G12" s="56" t="n">
        <v>5</v>
      </c>
      <c r="H12" s="56" t="n">
        <v>5</v>
      </c>
      <c r="I12" s="56" t="n">
        <v>4</v>
      </c>
      <c r="J12" s="56" t="n">
        <v>3</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60"/>
      <c r="B13" s="60"/>
      <c r="C13" s="6" t="s">
        <v>33</v>
      </c>
      <c r="D13" s="49" t="s">
        <v>42</v>
      </c>
      <c r="E13" s="52" t="n">
        <f aca="false">IFERROR(__xludf.dummyfunction("COUNTA(SPLIT(D13,"" ""))/COUNTA(SPLIT($B$12,"" ""))"),0.139473684210526)</f>
        <v>0.1394736842</v>
      </c>
      <c r="F13" s="6"/>
      <c r="G13" s="6"/>
      <c r="H13" s="6"/>
      <c r="I13" s="6"/>
      <c r="J13" s="6"/>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62"/>
      <c r="B14" s="55"/>
      <c r="C14" s="6"/>
      <c r="D14" s="49"/>
      <c r="E14" s="52" t="n">
        <f aca="false">IFERROR(__xludf.dummyfunction("COUNTA(SPLIT(D14,"" ""))/COUNTA(SPLIT($B$12,"" ""))"),0.00263157894736842)</f>
        <v>0.002631578947</v>
      </c>
      <c r="F14" s="6"/>
      <c r="G14" s="6"/>
      <c r="H14" s="6"/>
      <c r="I14" s="6"/>
      <c r="J14" s="6"/>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62"/>
      <c r="B15" s="55"/>
      <c r="C15" s="6"/>
      <c r="D15" s="49"/>
      <c r="E15" s="52" t="n">
        <f aca="false">IFERROR(__xludf.dummyfunction("COUNTA(SPLIT(D15,"" ""))/COUNTA(SPLIT($B$12,"" ""))"),0.00263157894736842)</f>
        <v>0.002631578947</v>
      </c>
      <c r="F15" s="6"/>
      <c r="G15" s="6"/>
      <c r="H15" s="6"/>
      <c r="I15" s="6"/>
      <c r="J15" s="6"/>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43</v>
      </c>
      <c r="B17" s="55" t="s">
        <v>44</v>
      </c>
      <c r="C17" s="56" t="s">
        <v>16</v>
      </c>
      <c r="D17" s="63" t="s">
        <v>45</v>
      </c>
      <c r="E17" s="64" t="n">
        <f aca="false">IFERROR(__xludf.dummyfunction("COUNTA(SPLIT(D17,"" ""))/COUNTA(SPLIT($B$17,"" ""))"),0.0594405594405594)</f>
        <v>0.05944055944</v>
      </c>
      <c r="F17" s="56" t="n">
        <v>4</v>
      </c>
      <c r="G17" s="56" t="n">
        <v>5</v>
      </c>
      <c r="H17" s="56" t="n">
        <v>5</v>
      </c>
      <c r="I17" s="56" t="n">
        <v>5</v>
      </c>
      <c r="J17" s="56" t="n">
        <v>3</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6" t="s">
        <v>33</v>
      </c>
      <c r="D18" s="49" t="s">
        <v>46</v>
      </c>
      <c r="E18" s="52" t="n">
        <f aca="false">IFERROR(__xludf.dummyfunction("COUNTA(SPLIT(D18,"" ""))/COUNTA(SPLIT($B$17,"" ""))"),0.166083916083916)</f>
        <v>0.1660839161</v>
      </c>
      <c r="F18" s="6"/>
      <c r="G18" s="6"/>
      <c r="H18" s="6"/>
      <c r="I18" s="6"/>
      <c r="J18" s="6"/>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6"/>
      <c r="D19" s="49"/>
      <c r="E19" s="52" t="n">
        <f aca="false">IFERROR(__xludf.dummyfunction("COUNTA(SPLIT(D19,"" ""))/COUNTA(SPLIT($B$17,"" ""))"),0.00174825174825175)</f>
        <v>0.001748251748</v>
      </c>
      <c r="F19" s="6"/>
      <c r="G19" s="6"/>
      <c r="H19" s="6"/>
      <c r="I19" s="6"/>
      <c r="J19" s="6"/>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6"/>
      <c r="D20" s="49"/>
      <c r="E20" s="52" t="n">
        <f aca="false">IFERROR(__xludf.dummyfunction("COUNTA(SPLIT(D20,"" ""))/COUNTA(SPLIT($B$17,"" ""))"),0.00174825174825175)</f>
        <v>0.001748251748</v>
      </c>
      <c r="F20" s="6"/>
      <c r="G20" s="6"/>
      <c r="H20" s="6"/>
      <c r="I20" s="6"/>
      <c r="J20" s="6"/>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47</v>
      </c>
      <c r="B22" s="55" t="s">
        <v>48</v>
      </c>
      <c r="C22" s="56" t="s">
        <v>16</v>
      </c>
      <c r="D22" s="63" t="s">
        <v>49</v>
      </c>
      <c r="E22" s="65" t="n">
        <f aca="false">IFERROR(__xludf.dummyfunction("COUNTA(SPLIT(D22,"" ""))/COUNTA(SPLIT($B$22,"" ""))"),0.0501792114695341)</f>
        <v>0.05017921147</v>
      </c>
      <c r="F22" s="56" t="n">
        <v>4</v>
      </c>
      <c r="G22" s="56" t="n">
        <v>5</v>
      </c>
      <c r="H22" s="56" t="n">
        <v>5</v>
      </c>
      <c r="I22" s="56" t="n">
        <v>4</v>
      </c>
      <c r="J22" s="56" t="n">
        <v>2</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6" t="s">
        <v>33</v>
      </c>
      <c r="D23" s="49" t="s">
        <v>50</v>
      </c>
      <c r="E23" s="52" t="n">
        <f aca="false">IFERROR(__xludf.dummyfunction("COUNTA(SPLIT(D23,"" ""))/COUNTA(SPLIT($B$22,"" ""))"),0.189964157706093)</f>
        <v>0.1899641577</v>
      </c>
      <c r="F23" s="6"/>
      <c r="G23" s="6"/>
      <c r="H23" s="6"/>
      <c r="I23" s="6"/>
      <c r="J23" s="6"/>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6"/>
      <c r="D24" s="49"/>
      <c r="E24" s="52" t="n">
        <f aca="false">IFERROR(__xludf.dummyfunction("COUNTA(SPLIT(D24,"" ""))/COUNTA(SPLIT($B$22,"" ""))"),0.0017921146953405)</f>
        <v>0.001792114695</v>
      </c>
      <c r="F24" s="6"/>
      <c r="G24" s="6"/>
      <c r="H24" s="6"/>
      <c r="I24" s="6"/>
      <c r="J24" s="6"/>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6"/>
      <c r="D25" s="49"/>
      <c r="E25" s="52" t="n">
        <f aca="false">IFERROR(__xludf.dummyfunction("COUNTA(SPLIT(D25,"" ""))/COUNTA(SPLIT($B$22,"" ""))"),0.0017921146953405)</f>
        <v>0.001792114695</v>
      </c>
      <c r="F25" s="6"/>
      <c r="G25" s="6"/>
      <c r="H25" s="6"/>
      <c r="I25" s="6"/>
      <c r="J25" s="6"/>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16</v>
      </c>
      <c r="D27" s="63" t="s">
        <v>53</v>
      </c>
      <c r="E27" s="64" t="n">
        <f aca="false">IFERROR(__xludf.dummyfunction("COUNTA(SPLIT(D27,"" ""))/COUNTA(SPLIT($B$27,"" ""))"),0.167883211678832)</f>
        <v>0.1678832117</v>
      </c>
      <c r="F27" s="56" t="n">
        <v>3</v>
      </c>
      <c r="G27" s="56" t="n">
        <v>5</v>
      </c>
      <c r="H27" s="56" t="n">
        <v>5</v>
      </c>
      <c r="I27" s="56" t="n">
        <v>5</v>
      </c>
      <c r="J27" s="56" t="n">
        <v>2</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33</v>
      </c>
      <c r="D28" s="49" t="s">
        <v>54</v>
      </c>
      <c r="E28" s="66" t="n">
        <f aca="false">IFERROR(__xludf.dummyfunction("COUNTA(SPLIT(D28,"" ""))/COUNTA(SPLIT($B$27,"" ""))"),0.27007299270073)</f>
        <v>0.2700729927</v>
      </c>
      <c r="F28" s="6"/>
      <c r="G28" s="6"/>
      <c r="H28" s="6"/>
      <c r="I28" s="6"/>
      <c r="J28" s="6"/>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c r="D29" s="49"/>
      <c r="E29" s="66" t="n">
        <f aca="false">IFERROR(__xludf.dummyfunction("COUNTA(SPLIT(D29,"" ""))/COUNTA(SPLIT($B$27,"" ""))"),0.0072992700729927)</f>
        <v>0.007299270073</v>
      </c>
      <c r="F29" s="6"/>
      <c r="G29" s="6"/>
      <c r="H29" s="6"/>
      <c r="I29" s="6"/>
      <c r="J29" s="6"/>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c r="D30" s="49"/>
      <c r="E30" s="66" t="n">
        <f aca="false">IFERROR(__xludf.dummyfunction("COUNTA(SPLIT(D30,"" ""))/COUNTA(SPLIT($B$27,"" ""))"),0.0072992700729927)</f>
        <v>0.007299270073</v>
      </c>
      <c r="F30" s="6"/>
      <c r="G30" s="6"/>
      <c r="H30" s="6"/>
      <c r="I30" s="6"/>
      <c r="J30" s="6"/>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16</v>
      </c>
      <c r="D32" s="63" t="s">
        <v>57</v>
      </c>
      <c r="E32" s="67" t="n">
        <f aca="false">IFERROR(__xludf.dummyfunction("COUNTA(SPLIT(D32,"" ""))/COUNTA(SPLIT($B$32,"" ""))"),0.0588235294117647)</f>
        <v>0.05882352941</v>
      </c>
      <c r="F32" s="56" t="n">
        <v>4</v>
      </c>
      <c r="G32" s="56" t="n">
        <v>5</v>
      </c>
      <c r="H32" s="56" t="n">
        <v>5</v>
      </c>
      <c r="I32" s="56" t="n">
        <v>5</v>
      </c>
      <c r="J32" s="56" t="n">
        <v>2</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33</v>
      </c>
      <c r="D33" s="49" t="s">
        <v>58</v>
      </c>
      <c r="E33" s="68" t="n">
        <f aca="false">IFERROR(__xludf.dummyfunction("COUNTA(SPLIT(D33,"" ""))/COUNTA(SPLIT($B$32,"" ""))"),0.250544662309368)</f>
        <v>0.2505446623</v>
      </c>
      <c r="F33" s="6"/>
      <c r="G33" s="6"/>
      <c r="H33" s="6"/>
      <c r="I33" s="6"/>
      <c r="J33" s="6"/>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69"/>
      <c r="C34" s="6"/>
      <c r="D34" s="49"/>
      <c r="E34" s="68" t="n">
        <f aca="false">IFERROR(__xludf.dummyfunction("COUNTA(SPLIT(D34,"" ""))/COUNTA(SPLIT($B$32,"" ""))"),0.00217864923747277)</f>
        <v>0.002178649237</v>
      </c>
      <c r="F34" s="6"/>
      <c r="G34" s="6"/>
      <c r="H34" s="6"/>
      <c r="I34" s="6"/>
      <c r="J34" s="6"/>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69"/>
      <c r="C35" s="6"/>
      <c r="D35" s="49"/>
      <c r="E35" s="68" t="n">
        <f aca="false">IFERROR(__xludf.dummyfunction("COUNTA(SPLIT(D35,"" ""))/COUNTA(SPLIT($B$32,"" ""))"),0.00217864923747277)</f>
        <v>0.002178649237</v>
      </c>
      <c r="F35" s="6"/>
      <c r="G35" s="6"/>
      <c r="H35" s="6"/>
      <c r="I35" s="6"/>
      <c r="J35" s="6"/>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59</v>
      </c>
      <c r="B37" s="55" t="s">
        <v>60</v>
      </c>
      <c r="C37" s="56" t="s">
        <v>16</v>
      </c>
      <c r="D37" s="63" t="s">
        <v>61</v>
      </c>
      <c r="E37" s="70" t="n">
        <f aca="false">IFERROR(__xludf.dummyfunction("COUNTA(SPLIT(D37,"" ""))/COUNTA(SPLIT($B$37,"" ""))"),0.180124223602484)</f>
        <v>0.1801242236</v>
      </c>
      <c r="F37" s="56" t="n">
        <v>4</v>
      </c>
      <c r="G37" s="56" t="n">
        <v>4</v>
      </c>
      <c r="H37" s="56" t="n">
        <v>5</v>
      </c>
      <c r="I37" s="56" t="n">
        <v>5</v>
      </c>
      <c r="J37" s="56" t="n">
        <v>2</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6" t="s">
        <v>33</v>
      </c>
      <c r="D38" s="49" t="s">
        <v>62</v>
      </c>
      <c r="E38" s="71" t="n">
        <f aca="false">IFERROR(__xludf.dummyfunction("COUNTA(SPLIT(D38,"" ""))/COUNTA(SPLIT($B$37,"" ""))"),0.273291925465839)</f>
        <v>0.2732919255</v>
      </c>
      <c r="F38" s="6"/>
      <c r="G38" s="6"/>
      <c r="H38" s="6"/>
      <c r="I38" s="6"/>
      <c r="J38" s="6"/>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6"/>
      <c r="D39" s="49"/>
      <c r="E39" s="71" t="n">
        <f aca="false">IFERROR(__xludf.dummyfunction("COUNTA(SPLIT(D39,"" ""))/COUNTA(SPLIT($B$37,"" ""))"),0.0062111801242236)</f>
        <v>0.006211180124</v>
      </c>
      <c r="F39" s="6"/>
      <c r="G39" s="6"/>
      <c r="H39" s="6"/>
      <c r="I39" s="6"/>
      <c r="J39" s="6"/>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6"/>
      <c r="D40" s="49"/>
      <c r="E40" s="71" t="n">
        <f aca="false">IFERROR(__xludf.dummyfunction("COUNTA(SPLIT(D40,"" ""))/COUNTA(SPLIT($B$37,"" ""))"),0.0062111801242236)</f>
        <v>0.006211180124</v>
      </c>
      <c r="F40" s="6"/>
      <c r="G40" s="6"/>
      <c r="H40" s="6"/>
      <c r="I40" s="6"/>
      <c r="J40" s="6"/>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16</v>
      </c>
      <c r="D42" s="63" t="s">
        <v>65</v>
      </c>
      <c r="E42" s="72" t="n">
        <f aca="false">IFERROR(__xludf.dummyfunction("COUNTA(SPLIT(D42,"" ""))/COUNTA(SPLIT($B$42,"" ""))"),0.0540540540540541)</f>
        <v>0.05405405405</v>
      </c>
      <c r="F42" s="56" t="n">
        <v>3</v>
      </c>
      <c r="G42" s="56" t="n">
        <v>5</v>
      </c>
      <c r="H42" s="56" t="n">
        <v>5</v>
      </c>
      <c r="I42" s="56" t="n">
        <v>5</v>
      </c>
      <c r="J42" s="56" t="n">
        <v>2</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33</v>
      </c>
      <c r="D43" s="49" t="s">
        <v>66</v>
      </c>
      <c r="E43" s="73" t="n">
        <f aca="false">IFERROR(__xludf.dummyfunction("COUNTA(SPLIT(D43,"" ""))/COUNTA(SPLIT($B$42,"" ""))"),0.139904610492846)</f>
        <v>0.1399046105</v>
      </c>
      <c r="F43" s="6"/>
      <c r="G43" s="6"/>
      <c r="H43" s="6"/>
      <c r="I43" s="6"/>
      <c r="J43" s="6"/>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c r="D44" s="49"/>
      <c r="E44" s="73" t="n">
        <f aca="false">IFERROR(__xludf.dummyfunction("COUNTA(SPLIT(D44,"" ""))/COUNTA(SPLIT($B$42,"" ""))"),0.00158982511923688)</f>
        <v>0.001589825119</v>
      </c>
      <c r="F44" s="6"/>
      <c r="G44" s="6"/>
      <c r="H44" s="6"/>
      <c r="I44" s="6"/>
      <c r="J44" s="6"/>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c r="D45" s="49"/>
      <c r="E45" s="73" t="n">
        <f aca="false">IFERROR(__xludf.dummyfunction("COUNTA(SPLIT(D45,"" ""))/COUNTA(SPLIT($B$42,"" ""))"),0.00158982511923688)</f>
        <v>0.001589825119</v>
      </c>
      <c r="F45" s="6"/>
      <c r="G45" s="6"/>
      <c r="H45" s="6"/>
      <c r="I45" s="6"/>
      <c r="J45" s="6"/>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16</v>
      </c>
      <c r="D47" s="63" t="s">
        <v>69</v>
      </c>
      <c r="E47" s="74" t="n">
        <f aca="false">IFERROR(__xludf.dummyfunction("COUNTA(SPLIT(D47,"" ""))/COUNTA(SPLIT($B$47,"" ""))"),0.0627376425855513)</f>
        <v>0.06273764259</v>
      </c>
      <c r="F47" s="56" t="n">
        <v>4</v>
      </c>
      <c r="G47" s="56" t="n">
        <v>5</v>
      </c>
      <c r="H47" s="56" t="n">
        <v>5</v>
      </c>
      <c r="I47" s="56" t="n">
        <v>5</v>
      </c>
      <c r="J47" s="56" t="n">
        <v>3</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33</v>
      </c>
      <c r="D48" s="49" t="s">
        <v>70</v>
      </c>
      <c r="E48" s="52" t="n">
        <f aca="false">IFERROR(__xludf.dummyfunction("COUNTA(SPLIT(D48,"" ""))/COUNTA(SPLIT($B$47,"" ""))"),0.199619771863118)</f>
        <v>0.1996197719</v>
      </c>
      <c r="F48" s="6"/>
      <c r="G48" s="6"/>
      <c r="H48" s="6"/>
      <c r="I48" s="6"/>
      <c r="J48" s="6"/>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c r="D49" s="49"/>
      <c r="E49" s="52" t="n">
        <f aca="false">IFERROR(__xludf.dummyfunction("COUNTA(SPLIT(D49,"" ""))/COUNTA(SPLIT($B$47,"" ""))"),0.00190114068441065)</f>
        <v>0.001901140684</v>
      </c>
      <c r="F49" s="6"/>
      <c r="G49" s="6"/>
      <c r="H49" s="6"/>
      <c r="I49" s="6"/>
      <c r="J49" s="6"/>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c r="D50" s="49"/>
      <c r="E50" s="52" t="n">
        <f aca="false">IFERROR(__xludf.dummyfunction("COUNTA(SPLIT(D50,"" ""))/COUNTA(SPLIT($B$47,"" ""))"),0.00190114068441065)</f>
        <v>0.001901140684</v>
      </c>
      <c r="F50" s="6"/>
      <c r="G50" s="6"/>
      <c r="H50" s="6"/>
      <c r="I50" s="6"/>
      <c r="J50" s="6"/>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225" hidden="false" customHeight="true" outlineLevel="0" collapsed="false">
      <c r="A52" s="54"/>
      <c r="B52" s="55"/>
      <c r="C52" s="56"/>
      <c r="D52" s="63"/>
      <c r="E52" s="75"/>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225" hidden="false" customHeight="true" outlineLevel="0" collapsed="false">
      <c r="A53" s="54"/>
      <c r="B53" s="54"/>
      <c r="C53" s="6"/>
      <c r="D53" s="49"/>
      <c r="E53" s="75"/>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225" hidden="false" customHeight="true" outlineLevel="0" collapsed="false">
      <c r="A54" s="54"/>
      <c r="B54" s="54"/>
      <c r="C54" s="6"/>
      <c r="D54" s="49"/>
      <c r="E54" s="75"/>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225" hidden="false" customHeight="true" outlineLevel="0" collapsed="false">
      <c r="A55" s="54"/>
      <c r="B55" s="54"/>
      <c r="C55" s="6"/>
      <c r="D55" s="49"/>
      <c r="E55" s="75"/>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225" hidden="false" customHeight="true" outlineLevel="0" collapsed="false">
      <c r="A57" s="54"/>
      <c r="B57" s="55"/>
      <c r="C57" s="56"/>
      <c r="D57" s="63"/>
      <c r="E57" s="75"/>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225" hidden="false" customHeight="true" outlineLevel="0" collapsed="false">
      <c r="A58" s="54"/>
      <c r="B58" s="54"/>
      <c r="C58" s="6"/>
      <c r="D58" s="49"/>
      <c r="E58" s="75"/>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225" hidden="false" customHeight="true" outlineLevel="0" collapsed="false">
      <c r="A59" s="54"/>
      <c r="B59" s="54"/>
      <c r="C59" s="6"/>
      <c r="D59" s="49"/>
      <c r="E59" s="75"/>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225" hidden="false" customHeight="true" outlineLevel="0" collapsed="false">
      <c r="A60" s="54"/>
      <c r="B60" s="54"/>
      <c r="C60" s="6"/>
      <c r="D60" s="49"/>
      <c r="E60" s="75"/>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225" hidden="false" customHeight="true" outlineLevel="0" collapsed="false">
      <c r="A62" s="54"/>
      <c r="B62" s="55"/>
      <c r="C62" s="56"/>
      <c r="D62" s="63"/>
      <c r="E62" s="75"/>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225" hidden="false" customHeight="true" outlineLevel="0" collapsed="false">
      <c r="A63" s="54"/>
      <c r="B63" s="54"/>
      <c r="C63" s="6"/>
      <c r="D63" s="49"/>
      <c r="E63" s="75"/>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225" hidden="false" customHeight="true" outlineLevel="0" collapsed="false">
      <c r="A64" s="54"/>
      <c r="B64" s="54"/>
      <c r="C64" s="6"/>
      <c r="D64" s="49"/>
      <c r="E64" s="75"/>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225" hidden="false" customHeight="true" outlineLevel="0" collapsed="false">
      <c r="A65" s="54"/>
      <c r="B65" s="54"/>
      <c r="C65" s="6"/>
      <c r="D65" s="49"/>
      <c r="E65" s="75"/>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225" hidden="false" customHeight="true" outlineLevel="0" collapsed="false">
      <c r="A67" s="54"/>
      <c r="B67" s="55"/>
      <c r="C67" s="56"/>
      <c r="D67" s="63"/>
      <c r="E67" s="75"/>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225" hidden="false" customHeight="true" outlineLevel="0" collapsed="false">
      <c r="A68" s="54"/>
      <c r="B68" s="54"/>
      <c r="C68" s="6"/>
      <c r="D68" s="49"/>
      <c r="E68" s="75"/>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225" hidden="false" customHeight="true" outlineLevel="0" collapsed="false">
      <c r="A69" s="54"/>
      <c r="B69" s="54"/>
      <c r="C69" s="6"/>
      <c r="D69" s="49"/>
      <c r="E69" s="75"/>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225" hidden="false" customHeight="true" outlineLevel="0" collapsed="false">
      <c r="A70" s="54"/>
      <c r="B70" s="54"/>
      <c r="C70" s="6"/>
      <c r="D70" s="49"/>
      <c r="E70" s="75"/>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54"/>
      <c r="B72" s="55"/>
      <c r="C72" s="56"/>
      <c r="D72" s="63"/>
      <c r="E72" s="75"/>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54"/>
      <c r="B73" s="54"/>
      <c r="C73" s="6"/>
      <c r="D73" s="49"/>
      <c r="E73" s="75"/>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54"/>
      <c r="B74" s="54"/>
      <c r="C74" s="6"/>
      <c r="D74" s="49"/>
      <c r="E74" s="75"/>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54"/>
      <c r="B75" s="54"/>
      <c r="C75" s="6"/>
      <c r="D75" s="49"/>
      <c r="E75" s="75"/>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54"/>
      <c r="B77" s="55"/>
      <c r="C77" s="56"/>
      <c r="D77" s="63"/>
      <c r="E77" s="75"/>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54"/>
      <c r="B78" s="54"/>
      <c r="C78" s="6"/>
      <c r="D78" s="49"/>
      <c r="E78" s="75"/>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54"/>
      <c r="B79" s="54"/>
      <c r="C79" s="6"/>
      <c r="D79" s="49"/>
      <c r="E79" s="75"/>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54"/>
      <c r="B80" s="54"/>
      <c r="C80" s="6"/>
      <c r="D80" s="49"/>
      <c r="E80" s="75"/>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54"/>
      <c r="B82" s="55"/>
      <c r="C82" s="56"/>
      <c r="D82" s="63"/>
      <c r="E82" s="75"/>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54"/>
      <c r="B83" s="54"/>
      <c r="C83" s="6"/>
      <c r="D83" s="49"/>
      <c r="E83" s="75"/>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54"/>
      <c r="B84" s="54"/>
      <c r="C84" s="6"/>
      <c r="D84" s="49"/>
      <c r="E84" s="75"/>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54"/>
      <c r="B85" s="54"/>
      <c r="C85" s="6"/>
      <c r="D85" s="49"/>
      <c r="E85" s="75"/>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54"/>
      <c r="B87" s="55"/>
      <c r="C87" s="56"/>
      <c r="D87" s="63"/>
      <c r="E87" s="75"/>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54"/>
      <c r="B88" s="54"/>
      <c r="C88" s="6"/>
      <c r="D88" s="49"/>
      <c r="E88" s="75"/>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54"/>
      <c r="B89" s="54"/>
      <c r="C89" s="6"/>
      <c r="D89" s="49"/>
      <c r="E89" s="75"/>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54"/>
      <c r="B90" s="54"/>
      <c r="C90" s="6"/>
      <c r="D90" s="49"/>
      <c r="E90" s="75"/>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54"/>
      <c r="B92" s="55"/>
      <c r="C92" s="56"/>
      <c r="D92" s="63"/>
      <c r="E92" s="75"/>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54"/>
      <c r="B93" s="54"/>
      <c r="C93" s="6"/>
      <c r="D93" s="49"/>
      <c r="E93" s="75"/>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54"/>
      <c r="B94" s="54"/>
      <c r="C94" s="6"/>
      <c r="D94" s="49"/>
      <c r="E94" s="75"/>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54"/>
      <c r="B95" s="54"/>
      <c r="C95" s="6"/>
      <c r="D95" s="49"/>
      <c r="E95" s="75"/>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54"/>
      <c r="B97" s="55"/>
      <c r="C97" s="56"/>
      <c r="D97" s="63"/>
      <c r="E97" s="75"/>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54"/>
      <c r="B98" s="54"/>
      <c r="C98" s="6"/>
      <c r="D98" s="49"/>
      <c r="E98" s="75"/>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54"/>
      <c r="B99" s="54"/>
      <c r="C99" s="6"/>
      <c r="D99" s="49"/>
      <c r="E99" s="75"/>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54"/>
      <c r="B100" s="54"/>
      <c r="C100" s="6"/>
      <c r="D100" s="49"/>
      <c r="E100" s="75"/>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6"/>
      <c r="B102" s="55"/>
      <c r="C102" s="56" t="s">
        <v>16</v>
      </c>
      <c r="D102" s="63"/>
      <c r="E102" s="75" t="n">
        <f aca="false">IFERROR(__xludf.dummyfunction("COUNTA(SPLIT(D102,"" ""))/COUNTA(SPLIT($B$67,"" ""))"),1)</f>
        <v>1</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6"/>
      <c r="B103" s="76"/>
      <c r="C103" s="6"/>
      <c r="D103" s="49"/>
      <c r="E103" s="77" t="n">
        <f aca="false">IFERROR(__xludf.dummyfunction("COUNTA(SPLIT(D103,"" ""))/COUNTA(SPLIT($B$67,"" ""))"),1)</f>
        <v>1</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6"/>
      <c r="B104" s="76"/>
      <c r="C104" s="6"/>
      <c r="D104" s="49"/>
      <c r="E104" s="78" t="n">
        <f aca="false">IFERROR(__xludf.dummyfunction("COUNTA(SPLIT(D104,"" ""))/COUNTA(SPLIT($B$67,"" ""))"),1)</f>
        <v>1</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6"/>
      <c r="B105" s="76"/>
      <c r="C105" s="6"/>
      <c r="D105" s="49"/>
      <c r="E105" s="79" t="n">
        <f aca="false">IFERROR(__xludf.dummyfunction("COUNTA(SPLIT(D105,"" ""))/COUNTA(SPLIT($B$67,"" ""))"),1)</f>
        <v>1</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6"/>
      <c r="B107" s="55"/>
      <c r="C107" s="56" t="s">
        <v>16</v>
      </c>
      <c r="D107" s="63"/>
      <c r="E107" s="75" t="n">
        <f aca="false">IFERROR(__xludf.dummyfunction("COUNTA(SPLIT(D107,"" ""))/COUNTA(SPLIT($B$67,"" ""))"),1)</f>
        <v>1</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6"/>
      <c r="B108" s="76"/>
      <c r="C108" s="6"/>
      <c r="D108" s="49"/>
      <c r="E108" s="77" t="n">
        <f aca="false">IFERROR(__xludf.dummyfunction("COUNTA(SPLIT(D108,"" ""))/COUNTA(SPLIT($B$67,"" ""))"),1)</f>
        <v>1</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6"/>
      <c r="B109" s="76"/>
      <c r="C109" s="6"/>
      <c r="D109" s="49"/>
      <c r="E109" s="78" t="n">
        <f aca="false">IFERROR(__xludf.dummyfunction("COUNTA(SPLIT(D109,"" ""))/COUNTA(SPLIT($B$67,"" ""))"),1)</f>
        <v>1</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6"/>
      <c r="B110" s="76"/>
      <c r="C110" s="6"/>
      <c r="D110" s="49"/>
      <c r="E110" s="79" t="n">
        <f aca="false">IFERROR(__xludf.dummyfunction("COUNTA(SPLIT(D110,"" ""))/COUNTA(SPLIT($B$67,"" ""))"),1)</f>
        <v>1</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6"/>
      <c r="B112" s="55"/>
      <c r="C112" s="56" t="s">
        <v>16</v>
      </c>
      <c r="D112" s="63"/>
      <c r="E112" s="75" t="n">
        <f aca="false">IFERROR(__xludf.dummyfunction("COUNTA(SPLIT(D112,"" ""))/COUNTA(SPLIT($B$67,"" ""))"),1)</f>
        <v>1</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6"/>
      <c r="B113" s="76"/>
      <c r="C113" s="6"/>
      <c r="D113" s="49"/>
      <c r="E113" s="77" t="n">
        <f aca="false">IFERROR(__xludf.dummyfunction("COUNTA(SPLIT(D113,"" ""))/COUNTA(SPLIT($B$67,"" ""))"),1)</f>
        <v>1</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6"/>
      <c r="B114" s="76"/>
      <c r="C114" s="6"/>
      <c r="D114" s="49"/>
      <c r="E114" s="78" t="n">
        <f aca="false">IFERROR(__xludf.dummyfunction("COUNTA(SPLIT(D114,"" ""))/COUNTA(SPLIT($B$67,"" ""))"),1)</f>
        <v>1</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6"/>
      <c r="B115" s="76"/>
      <c r="C115" s="6"/>
      <c r="D115" s="49"/>
      <c r="E115" s="79" t="n">
        <f aca="false">IFERROR(__xludf.dummyfunction("COUNTA(SPLIT(D115,"" ""))/COUNTA(SPLIT($B$67,"" ""))"),1)</f>
        <v>1</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6"/>
      <c r="B117" s="55"/>
      <c r="C117" s="56" t="s">
        <v>16</v>
      </c>
      <c r="D117" s="63"/>
      <c r="E117" s="75" t="n">
        <f aca="false">IFERROR(__xludf.dummyfunction("COUNTA(SPLIT(D117,"" ""))/COUNTA(SPLIT($B$67,"" ""))"),1)</f>
        <v>1</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6"/>
      <c r="B118" s="76"/>
      <c r="C118" s="6"/>
      <c r="D118" s="49"/>
      <c r="E118" s="77" t="n">
        <f aca="false">IFERROR(__xludf.dummyfunction("COUNTA(SPLIT(D118,"" ""))/COUNTA(SPLIT($B$67,"" ""))"),1)</f>
        <v>1</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6"/>
      <c r="B119" s="76"/>
      <c r="C119" s="6"/>
      <c r="D119" s="49"/>
      <c r="E119" s="78" t="n">
        <f aca="false">IFERROR(__xludf.dummyfunction("COUNTA(SPLIT(D119,"" ""))/COUNTA(SPLIT($B$67,"" ""))"),1)</f>
        <v>1</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6"/>
      <c r="B120" s="76"/>
      <c r="C120" s="6"/>
      <c r="D120" s="49"/>
      <c r="E120" s="79" t="n">
        <f aca="false">IFERROR(__xludf.dummyfunction("COUNTA(SPLIT(D120,"" ""))/COUNTA(SPLIT($B$67,"" ""))"),1)</f>
        <v>1</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6"/>
      <c r="B122" s="55"/>
      <c r="C122" s="56" t="s">
        <v>16</v>
      </c>
      <c r="D122" s="63"/>
      <c r="E122" s="75" t="n">
        <f aca="false">IFERROR(__xludf.dummyfunction("COUNTA(SPLIT(D122,"" ""))/COUNTA(SPLIT($B$67,"" ""))"),1)</f>
        <v>1</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6"/>
      <c r="B123" s="76"/>
      <c r="C123" s="6"/>
      <c r="D123" s="49"/>
      <c r="E123" s="77" t="n">
        <f aca="false">IFERROR(__xludf.dummyfunction("COUNTA(SPLIT(D123,"" ""))/COUNTA(SPLIT($B$67,"" ""))"),1)</f>
        <v>1</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6"/>
      <c r="B124" s="76"/>
      <c r="C124" s="6"/>
      <c r="D124" s="49"/>
      <c r="E124" s="78" t="n">
        <f aca="false">IFERROR(__xludf.dummyfunction("COUNTA(SPLIT(D124,"" ""))/COUNTA(SPLIT($B$67,"" ""))"),1)</f>
        <v>1</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6"/>
      <c r="B125" s="76"/>
      <c r="C125" s="6"/>
      <c r="D125" s="49"/>
      <c r="E125" s="79" t="n">
        <f aca="false">IFERROR(__xludf.dummyfunction("COUNTA(SPLIT(D125,"" ""))/COUNTA(SPLIT($B$67,"" ""))"),1)</f>
        <v>1</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6"/>
      <c r="B127" s="55"/>
      <c r="C127" s="56" t="s">
        <v>16</v>
      </c>
      <c r="D127" s="63"/>
      <c r="E127" s="75" t="n">
        <f aca="false">IFERROR(__xludf.dummyfunction("COUNTA(SPLIT(D127,"" ""))/COUNTA(SPLIT($B$67,"" ""))"),1)</f>
        <v>1</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6"/>
      <c r="B128" s="76"/>
      <c r="C128" s="6"/>
      <c r="D128" s="49"/>
      <c r="E128" s="77" t="n">
        <f aca="false">IFERROR(__xludf.dummyfunction("COUNTA(SPLIT(D128,"" ""))/COUNTA(SPLIT($B$67,"" ""))"),1)</f>
        <v>1</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6"/>
      <c r="B129" s="76"/>
      <c r="C129" s="6"/>
      <c r="D129" s="49"/>
      <c r="E129" s="78" t="n">
        <f aca="false">IFERROR(__xludf.dummyfunction("COUNTA(SPLIT(D129,"" ""))/COUNTA(SPLIT($B$67,"" ""))"),1)</f>
        <v>1</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6"/>
      <c r="B130" s="76"/>
      <c r="C130" s="6"/>
      <c r="D130" s="49"/>
      <c r="E130" s="79" t="n">
        <f aca="false">IFERROR(__xludf.dummyfunction("COUNTA(SPLIT(D130,"" ""))/COUNTA(SPLIT($B$67,"" ""))"),1)</f>
        <v>1</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6"/>
      <c r="B132" s="55"/>
      <c r="C132" s="56" t="s">
        <v>16</v>
      </c>
      <c r="D132" s="63"/>
      <c r="E132" s="75" t="n">
        <f aca="false">IFERROR(__xludf.dummyfunction("COUNTA(SPLIT(D132,"" ""))/COUNTA(SPLIT($B$67,"" ""))"),1)</f>
        <v>1</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6"/>
      <c r="B133" s="76"/>
      <c r="C133" s="6"/>
      <c r="D133" s="49"/>
      <c r="E133" s="77" t="n">
        <f aca="false">IFERROR(__xludf.dummyfunction("COUNTA(SPLIT(D133,"" ""))/COUNTA(SPLIT($B$67,"" ""))"),1)</f>
        <v>1</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6"/>
      <c r="B134" s="76"/>
      <c r="C134" s="6"/>
      <c r="D134" s="49"/>
      <c r="E134" s="78" t="n">
        <f aca="false">IFERROR(__xludf.dummyfunction("COUNTA(SPLIT(D134,"" ""))/COUNTA(SPLIT($B$67,"" ""))"),1)</f>
        <v>1</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6"/>
      <c r="B135" s="76"/>
      <c r="C135" s="6"/>
      <c r="D135" s="49"/>
      <c r="E135" s="79" t="n">
        <f aca="false">IFERROR(__xludf.dummyfunction("COUNTA(SPLIT(D135,"" ""))/COUNTA(SPLIT($B$67,"" ""))"),1)</f>
        <v>1</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6"/>
      <c r="B137" s="55"/>
      <c r="C137" s="56" t="s">
        <v>16</v>
      </c>
      <c r="D137" s="63"/>
      <c r="E137" s="75" t="n">
        <f aca="false">IFERROR(__xludf.dummyfunction("COUNTA(SPLIT(D137,"" ""))/COUNTA(SPLIT($B$67,"" ""))"),1)</f>
        <v>1</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6"/>
      <c r="B138" s="76"/>
      <c r="C138" s="6"/>
      <c r="D138" s="49"/>
      <c r="E138" s="77" t="n">
        <f aca="false">IFERROR(__xludf.dummyfunction("COUNTA(SPLIT(D138,"" ""))/COUNTA(SPLIT($B$67,"" ""))"),1)</f>
        <v>1</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6"/>
      <c r="B139" s="76"/>
      <c r="C139" s="6"/>
      <c r="D139" s="49"/>
      <c r="E139" s="78" t="n">
        <f aca="false">IFERROR(__xludf.dummyfunction("COUNTA(SPLIT(D139,"" ""))/COUNTA(SPLIT($B$67,"" ""))"),1)</f>
        <v>1</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6"/>
      <c r="B140" s="76"/>
      <c r="C140" s="6"/>
      <c r="D140" s="49"/>
      <c r="E140" s="79" t="n">
        <f aca="false">IFERROR(__xludf.dummyfunction("COUNTA(SPLIT(D140,"" ""))/COUNTA(SPLIT($B$67,"" ""))"),1)</f>
        <v>1</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6"/>
      <c r="B142" s="55"/>
      <c r="C142" s="56" t="s">
        <v>16</v>
      </c>
      <c r="D142" s="63"/>
      <c r="E142" s="75" t="n">
        <f aca="false">IFERROR(__xludf.dummyfunction("COUNTA(SPLIT(D142,"" ""))/COUNTA(SPLIT($B$67,"" ""))"),1)</f>
        <v>1</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6"/>
      <c r="B143" s="76"/>
      <c r="C143" s="6"/>
      <c r="D143" s="49"/>
      <c r="E143" s="77" t="n">
        <f aca="false">IFERROR(__xludf.dummyfunction("COUNTA(SPLIT(D143,"" ""))/COUNTA(SPLIT($B$67,"" ""))"),1)</f>
        <v>1</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6"/>
      <c r="B144" s="76"/>
      <c r="C144" s="6"/>
      <c r="D144" s="49"/>
      <c r="E144" s="78" t="n">
        <f aca="false">IFERROR(__xludf.dummyfunction("COUNTA(SPLIT(D144,"" ""))/COUNTA(SPLIT($B$67,"" ""))"),1)</f>
        <v>1</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6"/>
      <c r="B145" s="76"/>
      <c r="C145" s="6"/>
      <c r="D145" s="49"/>
      <c r="E145" s="79" t="n">
        <f aca="false">IFERROR(__xludf.dummyfunction("COUNTA(SPLIT(D145,"" ""))/COUNTA(SPLIT($B$67,"" ""))"),1)</f>
        <v>1</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6"/>
      <c r="B147" s="55"/>
      <c r="C147" s="56" t="s">
        <v>16</v>
      </c>
      <c r="D147" s="63"/>
      <c r="E147" s="75" t="n">
        <f aca="false">IFERROR(__xludf.dummyfunction("COUNTA(SPLIT(D147,"" ""))/COUNTA(SPLIT($B$67,"" ""))"),1)</f>
        <v>1</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6"/>
      <c r="B148" s="76"/>
      <c r="C148" s="6"/>
      <c r="D148" s="49"/>
      <c r="E148" s="77" t="n">
        <f aca="false">IFERROR(__xludf.dummyfunction("COUNTA(SPLIT(D148,"" ""))/COUNTA(SPLIT($B$67,"" ""))"),1)</f>
        <v>1</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6"/>
      <c r="B149" s="76"/>
      <c r="C149" s="6"/>
      <c r="D149" s="49"/>
      <c r="E149" s="78" t="n">
        <f aca="false">IFERROR(__xludf.dummyfunction("COUNTA(SPLIT(D149,"" ""))/COUNTA(SPLIT($B$67,"" ""))"),1)</f>
        <v>1</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6"/>
      <c r="B150" s="76"/>
      <c r="C150" s="6"/>
      <c r="D150" s="49"/>
      <c r="E150" s="79" t="n">
        <f aca="false">IFERROR(__xludf.dummyfunction("COUNTA(SPLIT(D150,"" ""))/COUNTA(SPLIT($B$67,"" ""))"),1)</f>
        <v>1</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6"/>
      <c r="B152" s="55"/>
      <c r="C152" s="56" t="s">
        <v>16</v>
      </c>
      <c r="D152" s="63"/>
      <c r="E152" s="75" t="n">
        <f aca="false">IFERROR(__xludf.dummyfunction("COUNTA(SPLIT(D152,"" ""))/COUNTA(SPLIT($B$67,"" ""))"),1)</f>
        <v>1</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6"/>
      <c r="B153" s="76"/>
      <c r="C153" s="6"/>
      <c r="D153" s="49"/>
      <c r="E153" s="77" t="n">
        <f aca="false">IFERROR(__xludf.dummyfunction("COUNTA(SPLIT(D153,"" ""))/COUNTA(SPLIT($B$67,"" ""))"),1)</f>
        <v>1</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6"/>
      <c r="B154" s="76"/>
      <c r="C154" s="6"/>
      <c r="D154" s="49"/>
      <c r="E154" s="78" t="n">
        <f aca="false">IFERROR(__xludf.dummyfunction("COUNTA(SPLIT(D154,"" ""))/COUNTA(SPLIT($B$67,"" ""))"),1)</f>
        <v>1</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6"/>
      <c r="B155" s="76"/>
      <c r="C155" s="6"/>
      <c r="D155" s="49"/>
      <c r="E155" s="79" t="n">
        <f aca="false">IFERROR(__xludf.dummyfunction("COUNTA(SPLIT(D155,"" ""))/COUNTA(SPLIT($B$67,"" ""))"),1)</f>
        <v>1</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6"/>
      <c r="B157" s="55"/>
      <c r="C157" s="56" t="s">
        <v>16</v>
      </c>
      <c r="D157" s="63"/>
      <c r="E157" s="75" t="n">
        <f aca="false">IFERROR(__xludf.dummyfunction("COUNTA(SPLIT(D157,"" ""))/COUNTA(SPLIT($B$67,"" ""))"),1)</f>
        <v>1</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6"/>
      <c r="B158" s="76"/>
      <c r="C158" s="6"/>
      <c r="D158" s="49"/>
      <c r="E158" s="77" t="n">
        <f aca="false">IFERROR(__xludf.dummyfunction("COUNTA(SPLIT(D158,"" ""))/COUNTA(SPLIT($B$67,"" ""))"),1)</f>
        <v>1</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6"/>
      <c r="B159" s="76"/>
      <c r="C159" s="6"/>
      <c r="D159" s="49"/>
      <c r="E159" s="78" t="n">
        <f aca="false">IFERROR(__xludf.dummyfunction("COUNTA(SPLIT(D159,"" ""))/COUNTA(SPLIT($B$67,"" ""))"),1)</f>
        <v>1</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6"/>
      <c r="B160" s="76"/>
      <c r="C160" s="6"/>
      <c r="D160" s="49"/>
      <c r="E160" s="79" t="n">
        <f aca="false">IFERROR(__xludf.dummyfunction("COUNTA(SPLIT(D160,"" ""))/COUNTA(SPLIT($B$67,"" ""))"),1)</f>
        <v>1</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6"/>
      <c r="B162" s="55"/>
      <c r="C162" s="56" t="s">
        <v>16</v>
      </c>
      <c r="D162" s="63"/>
      <c r="E162" s="75" t="n">
        <f aca="false">IFERROR(__xludf.dummyfunction("COUNTA(SPLIT(D162,"" ""))/COUNTA(SPLIT($B$67,"" ""))"),1)</f>
        <v>1</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6"/>
      <c r="B163" s="76"/>
      <c r="C163" s="6"/>
      <c r="D163" s="49"/>
      <c r="E163" s="77" t="n">
        <f aca="false">IFERROR(__xludf.dummyfunction("COUNTA(SPLIT(D163,"" ""))/COUNTA(SPLIT($B$67,"" ""))"),1)</f>
        <v>1</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6"/>
      <c r="B164" s="76"/>
      <c r="C164" s="6"/>
      <c r="D164" s="49"/>
      <c r="E164" s="78" t="n">
        <f aca="false">IFERROR(__xludf.dummyfunction("COUNTA(SPLIT(D164,"" ""))/COUNTA(SPLIT($B$67,"" ""))"),1)</f>
        <v>1</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6"/>
      <c r="B165" s="76"/>
      <c r="C165" s="6"/>
      <c r="D165" s="49"/>
      <c r="E165" s="79" t="n">
        <f aca="false">IFERROR(__xludf.dummyfunction("COUNTA(SPLIT(D165,"" ""))/COUNTA(SPLIT($B$67,"" ""))"),1)</f>
        <v>1</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3"/>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7:E10 E12:E15 E17:E20 E22:E25 E27:E30 E32:E35 E37:E40 E42:E45 E47:E50 E52:E55 E57:E60 E62:E65 E67:E70 E72:E75 E77:E80 E82:E85 E87:E90 E92:E95 E97:E100 E102:E105 E107:E110 E112:E115 E117:E120 E122:E125 E127:E130 E132:E135 E137:E140 E142:E145 E147:E150 E152:E155 E157:E160 E162:E165">
    <cfRule type="colorScale" priority="2">
      <colorScale>
        <cfvo type="formula" val="0"/>
        <cfvo type="formula" val="0.5"/>
        <cfvo type="formula" val="1"/>
        <color rgb="FFFFFFFF"/>
        <color rgb="FFF3BEB9"/>
        <color rgb="FFE67C73"/>
      </colorScale>
    </cfRule>
  </conditionalFormatting>
  <conditionalFormatting sqref="E2:E1002">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"Heading,Jeremy,Naiara,Begoña,Alba"</formula1>
      <formula2>0</formula2>
    </dataValidation>
  </dataValidations>
  <hyperlinks>
    <hyperlink ref="A2" r:id="rId2" display="https://www.berria.eus/kirola/hau-badakit-egunen-batean-aterako-da-barruan-dudan-jokoa_2123931_102.html"/>
    <hyperlink ref="A7" r:id="rId3" display="https://www.berria.eus/ekonomia/kutxabankek-2116-euro-bideratu-zituen-karbono-gutxiko-proiektuak-finantzatzera_2120192_102.html"/>
    <hyperlink ref="A12" r:id="rId4" display="https://www.berria.eus/bizigiro/tradizioa-eta-abangoardia_2126379_102.html"/>
    <hyperlink ref="A17" r:id="rId5" display="https://www.berria.eus/mundua/nbek-43-mila-milioi-euro-eskatu-ditu-datorren-urtean-laguntza-humanitarioa-bermatzeko_2117704_102.html"/>
    <hyperlink ref="A22" r:id="rId6" display="https://www.berria.eus/kultura/umeak-amari-eman-dio-bidea_2124508_102.html"/>
    <hyperlink ref="A27" r:id="rId7" display="https://www.berria.eus/euskal-herria/pintaketa-faxistak-egin-dituzte-irunean_2124262_102.html"/>
    <hyperlink ref="A32" r:id="rId8" display="https://www.berria.eus/ekonomia/eolikoen-arlorako-laguntzetan-orain-halako-bi-jarriko-du-ebk-1400-milioi_1343992_102.html"/>
    <hyperlink ref="A37" r:id="rId9" display="https://www.berria.eus/kultura/itsasun-egingo-dute-irailekoak-poesia-jaialdia-aurten_2125293_102.html"/>
    <hyperlink ref="A42" r:id="rId10" display="https://www.berria.eus/kultura/nolabaiteko-kontrarreforma-bat-gertatzen-ari-da-eta-horren-aurrean-elkartu-beharra-daukagu_2124481_102.html"/>
    <hyperlink ref="A47" r:id="rId11" display="https://www.berria.eus/euskal-herria/ortuzarrek-dio-eajk-euskadiko-estatus-berriari-bultzada-eman-nahi-diola_2124257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1" sqref="A52:A101 A2"/>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80" t="s">
        <v>71</v>
      </c>
      <c r="E2" s="77" t="n">
        <f aca="false">IFERROR(__xludf.dummyfunction("COUNTA(SPLIT(D2,"" ""))/COUNTA(SPLIT($B$2,"" ""))"),0.182587666263603)</f>
        <v>0.1825876663</v>
      </c>
      <c r="F2" s="6" t="n">
        <v>3</v>
      </c>
      <c r="G2" s="6" t="n">
        <v>5</v>
      </c>
      <c r="H2" s="6" t="n">
        <v>4</v>
      </c>
      <c r="I2" s="6" t="n">
        <v>4</v>
      </c>
      <c r="J2" s="6" t="n">
        <v>4</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19</v>
      </c>
      <c r="D3" s="80" t="s">
        <v>72</v>
      </c>
      <c r="E3" s="81" t="n">
        <f aca="false">IFERROR(__xludf.dummyfunction("COUNTA(SPLIT(D3,"" ""))/COUNTA(SPLIT($B$2,"" ""))"),0.124546553808948)</f>
        <v>0.1245465538</v>
      </c>
      <c r="F3" s="6" t="n">
        <v>4</v>
      </c>
      <c r="G3" s="6" t="n">
        <v>3</v>
      </c>
      <c r="H3" s="6" t="n">
        <v>5</v>
      </c>
      <c r="I3" s="6" t="n">
        <v>4</v>
      </c>
      <c r="J3" s="6" t="n">
        <v>4</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t="s">
        <v>8</v>
      </c>
      <c r="D4" s="82" t="s">
        <v>73</v>
      </c>
      <c r="E4" s="83" t="n">
        <f aca="false">IFERROR(__xludf.dummyfunction("COUNTA(SPLIT(D4,"" ""))/COUNTA(SPLIT($B$2,"" ""))"),0.169286577992745)</f>
        <v>0.169286578</v>
      </c>
      <c r="F4" s="6" t="n">
        <v>3</v>
      </c>
      <c r="G4" s="6" t="n">
        <v>5</v>
      </c>
      <c r="H4" s="6" t="n">
        <v>5</v>
      </c>
      <c r="I4" s="6" t="n">
        <v>4</v>
      </c>
      <c r="J4" s="6" t="n">
        <v>5</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t="s">
        <v>20</v>
      </c>
      <c r="D5" s="82" t="s">
        <v>74</v>
      </c>
      <c r="E5" s="84" t="n">
        <f aca="false">IFERROR(__xludf.dummyfunction("COUNTA(SPLIT(D5,"" ""))/COUNTA(SPLIT($B$2,"" ""))"),0.226118500604595)</f>
        <v>0.2261185006</v>
      </c>
      <c r="F5" s="6" t="n">
        <v>3</v>
      </c>
      <c r="G5" s="6" t="n">
        <v>4</v>
      </c>
      <c r="H5" s="6" t="n">
        <v>1</v>
      </c>
      <c r="I5" s="6" t="n">
        <v>3</v>
      </c>
      <c r="J5" s="6" t="n">
        <v>4</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85" t="s">
        <v>75</v>
      </c>
      <c r="E7" s="86" t="n">
        <f aca="false">IFERROR(__xludf.dummyfunction("COUNTA(SPLIT(D7,"" ""))/COUNTA(SPLIT($B$7,"" ""))"),0.866141732283465)</f>
        <v>0.8661417323</v>
      </c>
      <c r="F7" s="56" t="n">
        <v>3</v>
      </c>
      <c r="G7" s="56" t="n">
        <v>4</v>
      </c>
      <c r="H7" s="56" t="n">
        <v>5</v>
      </c>
      <c r="I7" s="56" t="n">
        <v>2</v>
      </c>
      <c r="J7" s="56" t="n">
        <v>5</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82" t="s">
        <v>76</v>
      </c>
      <c r="E8" s="87" t="n">
        <f aca="false">IFERROR(__xludf.dummyfunction("COUNTA(SPLIT(D8,"" ""))/COUNTA(SPLIT($B$7,"" ""))"),0.448818897637795)</f>
        <v>0.4488188976</v>
      </c>
      <c r="F8" s="6" t="n">
        <v>3</v>
      </c>
      <c r="G8" s="6" t="n">
        <v>4</v>
      </c>
      <c r="H8" s="6" t="n">
        <v>4</v>
      </c>
      <c r="I8" s="6" t="n">
        <v>3</v>
      </c>
      <c r="J8" s="6" t="n">
        <v>5</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80" t="s">
        <v>77</v>
      </c>
      <c r="E9" s="88" t="n">
        <f aca="false">IFERROR(__xludf.dummyfunction("COUNTA(SPLIT(D9,"" ""))/COUNTA(SPLIT($B$7,"" ""))"),0.84251968503937)</f>
        <v>0.842519685</v>
      </c>
      <c r="F9" s="6" t="n">
        <v>3</v>
      </c>
      <c r="G9" s="6" t="n">
        <v>5</v>
      </c>
      <c r="H9" s="6" t="n">
        <v>5</v>
      </c>
      <c r="I9" s="6" t="n">
        <v>2</v>
      </c>
      <c r="J9" s="6"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89" t="s">
        <v>78</v>
      </c>
      <c r="E10" s="70" t="n">
        <f aca="false">IFERROR(__xludf.dummyfunction("COUNTA(SPLIT(D10,"" ""))/COUNTA(SPLIT($B$7,"" ""))"),0.338582677165354)</f>
        <v>0.3385826772</v>
      </c>
      <c r="F10" s="6" t="n">
        <v>3</v>
      </c>
      <c r="G10" s="6" t="n">
        <v>5</v>
      </c>
      <c r="H10" s="6" t="n">
        <v>5</v>
      </c>
      <c r="I10" s="6" t="n">
        <v>4</v>
      </c>
      <c r="J10" s="6" t="n">
        <v>5</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60" t="s">
        <v>39</v>
      </c>
      <c r="B12" s="55" t="s">
        <v>40</v>
      </c>
      <c r="C12" s="56" t="s">
        <v>18</v>
      </c>
      <c r="D12" s="90" t="s">
        <v>79</v>
      </c>
      <c r="E12" s="91" t="n">
        <f aca="false">IFERROR(__xludf.dummyfunction("COUNTA(SPLIT(D12,"" ""))/COUNTA(SPLIT($B$12,"" ""))"),0.357894736842105)</f>
        <v>0.3578947368</v>
      </c>
      <c r="F12" s="56" t="n">
        <v>3</v>
      </c>
      <c r="G12" s="56" t="n">
        <v>5</v>
      </c>
      <c r="H12" s="56" t="n">
        <v>4</v>
      </c>
      <c r="I12" s="56" t="n">
        <v>2</v>
      </c>
      <c r="J12" s="56" t="n">
        <v>5</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60"/>
      <c r="B13" s="60"/>
      <c r="C13" s="6" t="s">
        <v>19</v>
      </c>
      <c r="D13" s="82" t="s">
        <v>80</v>
      </c>
      <c r="E13" s="91" t="n">
        <f aca="false">IFERROR(__xludf.dummyfunction("COUNTA(SPLIT(D13,"" ""))/COUNTA(SPLIT($B$12,"" ""))"),0.257894736842105)</f>
        <v>0.2578947368</v>
      </c>
      <c r="F13" s="6" t="n">
        <v>3</v>
      </c>
      <c r="G13" s="6" t="n">
        <v>5</v>
      </c>
      <c r="H13" s="6" t="n">
        <v>5</v>
      </c>
      <c r="I13" s="6" t="n">
        <v>3</v>
      </c>
      <c r="J13" s="6" t="n">
        <v>5</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62"/>
      <c r="B14" s="55"/>
      <c r="C14" s="6" t="s">
        <v>8</v>
      </c>
      <c r="D14" s="80" t="s">
        <v>81</v>
      </c>
      <c r="E14" s="92" t="n">
        <f aca="false">IFERROR(__xludf.dummyfunction("COUNTA(SPLIT(D14,"" ""))/COUNTA(SPLIT($B$12,"" ""))"),0.357894736842105)</f>
        <v>0.3578947368</v>
      </c>
      <c r="F14" s="6" t="n">
        <v>3</v>
      </c>
      <c r="G14" s="6" t="n">
        <v>5</v>
      </c>
      <c r="H14" s="6" t="n">
        <v>5</v>
      </c>
      <c r="I14" s="6" t="n">
        <v>2</v>
      </c>
      <c r="J14" s="6" t="n">
        <v>5</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62"/>
      <c r="B15" s="55"/>
      <c r="C15" s="6" t="s">
        <v>20</v>
      </c>
      <c r="D15" s="80" t="s">
        <v>82</v>
      </c>
      <c r="E15" s="93" t="n">
        <f aca="false">IFERROR(__xludf.dummyfunction("COUNTA(SPLIT(D15,"" ""))/COUNTA(SPLIT($B$12,"" ""))"),0.281578947368421)</f>
        <v>0.2815789474</v>
      </c>
      <c r="F15" s="6" t="n">
        <v>3</v>
      </c>
      <c r="G15" s="6" t="n">
        <v>5</v>
      </c>
      <c r="H15" s="6" t="n">
        <v>5</v>
      </c>
      <c r="I15" s="6" t="n">
        <v>4</v>
      </c>
      <c r="J15" s="6" t="n">
        <v>4</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60" t="s">
        <v>43</v>
      </c>
      <c r="B17" s="55" t="s">
        <v>44</v>
      </c>
      <c r="C17" s="56" t="s">
        <v>18</v>
      </c>
      <c r="D17" s="63" t="s">
        <v>83</v>
      </c>
      <c r="E17" s="94" t="n">
        <f aca="false">IFERROR(__xludf.dummyfunction("COUNTA(SPLIT(D17,"" ""))/COUNTA(SPLIT($B$17,"" ""))"),0.388111888111888)</f>
        <v>0.3881118881</v>
      </c>
      <c r="F17" s="56" t="n">
        <v>3</v>
      </c>
      <c r="G17" s="56" t="n">
        <v>5</v>
      </c>
      <c r="H17" s="56" t="n">
        <v>1</v>
      </c>
      <c r="I17" s="56" t="n">
        <v>2</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60"/>
      <c r="B18" s="60"/>
      <c r="C18" s="6" t="s">
        <v>19</v>
      </c>
      <c r="D18" s="49" t="s">
        <v>84</v>
      </c>
      <c r="E18" s="95" t="n">
        <f aca="false">IFERROR(__xludf.dummyfunction("COUNTA(SPLIT(D18,"" ""))/COUNTA(SPLIT($B$17,"" ""))"),0.222027972027972)</f>
        <v>0.222027972</v>
      </c>
      <c r="F18" s="6" t="n">
        <v>5</v>
      </c>
      <c r="G18" s="6" t="n">
        <v>5</v>
      </c>
      <c r="H18" s="6" t="n">
        <v>4</v>
      </c>
      <c r="I18" s="6" t="n">
        <v>3</v>
      </c>
      <c r="J18" s="6" t="n">
        <v>5</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60"/>
      <c r="B19" s="60"/>
      <c r="C19" s="6" t="s">
        <v>8</v>
      </c>
      <c r="D19" s="49" t="s">
        <v>85</v>
      </c>
      <c r="E19" s="91" t="n">
        <f aca="false">IFERROR(__xludf.dummyfunction("COUNTA(SPLIT(D19,"" ""))/COUNTA(SPLIT($B$17,"" ""))"),0.262237762237762)</f>
        <v>0.2622377622</v>
      </c>
      <c r="F19" s="6" t="n">
        <v>3</v>
      </c>
      <c r="G19" s="6" t="n">
        <v>5</v>
      </c>
      <c r="H19" s="6" t="n">
        <v>4</v>
      </c>
      <c r="I19" s="6" t="n">
        <v>3</v>
      </c>
      <c r="J19" s="6"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60"/>
      <c r="B20" s="60"/>
      <c r="C20" s="6" t="s">
        <v>20</v>
      </c>
      <c r="D20" s="49" t="s">
        <v>86</v>
      </c>
      <c r="E20" s="96" t="n">
        <f aca="false">IFERROR(__xludf.dummyfunction("COUNTA(SPLIT(D20,"" ""))/COUNTA(SPLIT($B$17,"" ""))"),0.333916083916084)</f>
        <v>0.3339160839</v>
      </c>
      <c r="F20" s="6" t="n">
        <v>3</v>
      </c>
      <c r="G20" s="6" t="n">
        <v>5</v>
      </c>
      <c r="H20" s="6" t="n">
        <v>1</v>
      </c>
      <c r="I20" s="6" t="n">
        <v>3</v>
      </c>
      <c r="J20" s="6" t="n">
        <v>5</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60" t="s">
        <v>47</v>
      </c>
      <c r="B22" s="55" t="s">
        <v>48</v>
      </c>
      <c r="C22" s="56" t="s">
        <v>18</v>
      </c>
      <c r="D22" s="85" t="s">
        <v>87</v>
      </c>
      <c r="E22" s="97" t="n">
        <f aca="false">IFERROR(__xludf.dummyfunction("COUNTA(SPLIT(D22,"" ""))/COUNTA(SPLIT($B$22,"" ""))"),0.21505376344086)</f>
        <v>0.2150537634</v>
      </c>
      <c r="F22" s="56" t="n">
        <v>2</v>
      </c>
      <c r="G22" s="56" t="n">
        <v>3</v>
      </c>
      <c r="H22" s="56" t="n">
        <v>5</v>
      </c>
      <c r="I22" s="56" t="n">
        <v>4</v>
      </c>
      <c r="J22" s="56" t="n">
        <v>5</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60"/>
      <c r="B23" s="60"/>
      <c r="C23" s="6" t="s">
        <v>19</v>
      </c>
      <c r="D23" s="89" t="s">
        <v>88</v>
      </c>
      <c r="E23" s="98" t="n">
        <f aca="false">IFERROR(__xludf.dummyfunction("COUNTA(SPLIT(D23,"" ""))/COUNTA(SPLIT($B$22,"" ""))"),0.193548387096774)</f>
        <v>0.1935483871</v>
      </c>
      <c r="F23" s="6" t="n">
        <v>3</v>
      </c>
      <c r="G23" s="6" t="n">
        <v>4</v>
      </c>
      <c r="H23" s="6" t="n">
        <v>3</v>
      </c>
      <c r="I23" s="6" t="n">
        <v>3</v>
      </c>
      <c r="J23" s="6" t="n">
        <v>3</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60"/>
      <c r="B24" s="60"/>
      <c r="C24" s="6" t="s">
        <v>8</v>
      </c>
      <c r="D24" s="80" t="s">
        <v>89</v>
      </c>
      <c r="E24" s="99" t="n">
        <f aca="false">IFERROR(__xludf.dummyfunction("COUNTA(SPLIT(D24,"" ""))/COUNTA(SPLIT($B$22,"" ""))"),0.200716845878136)</f>
        <v>0.2007168459</v>
      </c>
      <c r="F24" s="6" t="n">
        <v>2</v>
      </c>
      <c r="G24" s="6" t="n">
        <v>2</v>
      </c>
      <c r="H24" s="6" t="n">
        <v>3</v>
      </c>
      <c r="I24" s="6" t="n">
        <v>3</v>
      </c>
      <c r="J24" s="6" t="n">
        <v>5</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60"/>
      <c r="B25" s="60"/>
      <c r="C25" s="6" t="s">
        <v>20</v>
      </c>
      <c r="D25" s="89" t="s">
        <v>90</v>
      </c>
      <c r="E25" s="73" t="n">
        <f aca="false">IFERROR(__xludf.dummyfunction("COUNTA(SPLIT(D25,"" ""))/COUNTA(SPLIT($B$22,"" ""))"),0.188172043010753)</f>
        <v>0.188172043</v>
      </c>
      <c r="F25" s="6" t="n">
        <v>2</v>
      </c>
      <c r="G25" s="6" t="n">
        <v>3</v>
      </c>
      <c r="H25" s="6" t="n">
        <v>5</v>
      </c>
      <c r="I25" s="6" t="n">
        <v>4</v>
      </c>
      <c r="J25" s="6" t="n">
        <v>5</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100" t="s">
        <v>52</v>
      </c>
      <c r="C27" s="56" t="s">
        <v>18</v>
      </c>
      <c r="D27" s="101" t="s">
        <v>91</v>
      </c>
      <c r="E27" s="102" t="n">
        <f aca="false">IFERROR(__xludf.dummyfunction("COUNTA(SPLIT(D27,"" ""))/COUNTA(SPLIT($B$27,"" ""))"),1.21167883211679)</f>
        <v>1.211678832</v>
      </c>
      <c r="F27" s="56" t="n">
        <v>4</v>
      </c>
      <c r="G27" s="56" t="n">
        <v>5</v>
      </c>
      <c r="H27" s="56" t="n">
        <v>1</v>
      </c>
      <c r="I27" s="56" t="n">
        <v>2</v>
      </c>
      <c r="J27" s="56"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80" t="s">
        <v>92</v>
      </c>
      <c r="E28" s="103" t="n">
        <f aca="false">IFERROR(__xludf.dummyfunction("COUNTA(SPLIT(D28,"" ""))/COUNTA(SPLIT($B$27,"" ""))"),0.642335766423358)</f>
        <v>0.6423357664</v>
      </c>
      <c r="F28" s="6" t="n">
        <v>3</v>
      </c>
      <c r="G28" s="6" t="n">
        <v>5</v>
      </c>
      <c r="H28" s="6" t="n">
        <v>5</v>
      </c>
      <c r="I28" s="6" t="n">
        <v>3</v>
      </c>
      <c r="J28" s="6" t="n">
        <v>3</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93</v>
      </c>
      <c r="E29" s="96" t="n">
        <f aca="false">IFERROR(__xludf.dummyfunction("COUNTA(SPLIT(D29,"" ""))/COUNTA(SPLIT($B$27,"" ""))"),0.744525547445256)</f>
        <v>0.7445255474</v>
      </c>
      <c r="F29" s="6" t="n">
        <v>3</v>
      </c>
      <c r="G29" s="6" t="n">
        <v>3</v>
      </c>
      <c r="H29" s="6" t="n">
        <v>5</v>
      </c>
      <c r="I29" s="6" t="n">
        <v>3</v>
      </c>
      <c r="J29" s="6" t="n">
        <v>5</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94</v>
      </c>
      <c r="E30" s="104" t="n">
        <f aca="false">IFERROR(__xludf.dummyfunction("COUNTA(SPLIT(D30,"" ""))/COUNTA(SPLIT($B$27,"" ""))"),0.978102189781022)</f>
        <v>0.9781021898</v>
      </c>
      <c r="F30" s="6" t="n">
        <v>4</v>
      </c>
      <c r="G30" s="6" t="n">
        <v>5</v>
      </c>
      <c r="H30" s="6" t="n">
        <v>1</v>
      </c>
      <c r="I30" s="6" t="n">
        <v>2</v>
      </c>
      <c r="J30" s="6" t="n">
        <v>5</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90" t="s">
        <v>95</v>
      </c>
      <c r="E32" s="72" t="n">
        <f aca="false">IFERROR(__xludf.dummyfunction("COUNTA(SPLIT(D32,"" ""))/COUNTA(SPLIT($B$32,"" ""))"),0.577342047930283)</f>
        <v>0.5773420479</v>
      </c>
      <c r="F32" s="56" t="n">
        <v>3</v>
      </c>
      <c r="G32" s="56" t="n">
        <v>5</v>
      </c>
      <c r="H32" s="56" t="n">
        <v>1</v>
      </c>
      <c r="I32" s="56" t="n">
        <v>2</v>
      </c>
      <c r="J32" s="56" t="n">
        <v>5</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89" t="s">
        <v>96</v>
      </c>
      <c r="E33" s="105" t="n">
        <f aca="false">IFERROR(__xludf.dummyfunction("COUNTA(SPLIT(D33,"" ""))/COUNTA(SPLIT($B$32,"" ""))"),0.291938997821351)</f>
        <v>0.2919389978</v>
      </c>
      <c r="F33" s="6" t="n">
        <v>3</v>
      </c>
      <c r="G33" s="6" t="n">
        <v>4</v>
      </c>
      <c r="H33" s="6" t="n">
        <v>4</v>
      </c>
      <c r="I33" s="6" t="n">
        <v>3</v>
      </c>
      <c r="J33" s="6" t="n">
        <v>5</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69"/>
      <c r="C34" s="6" t="s">
        <v>8</v>
      </c>
      <c r="D34" s="89" t="s">
        <v>97</v>
      </c>
      <c r="E34" s="106" t="n">
        <f aca="false">IFERROR(__xludf.dummyfunction("COUNTA(SPLIT(D34,"" ""))/COUNTA(SPLIT($B$32,"" ""))"),0.433551198257081)</f>
        <v>0.4335511983</v>
      </c>
      <c r="F34" s="6" t="n">
        <v>3</v>
      </c>
      <c r="G34" s="6" t="n">
        <v>4</v>
      </c>
      <c r="H34" s="6" t="n">
        <v>5</v>
      </c>
      <c r="I34" s="6" t="n">
        <v>2</v>
      </c>
      <c r="J34" s="6" t="n">
        <v>3</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69"/>
      <c r="C35" s="6" t="s">
        <v>20</v>
      </c>
      <c r="D35" s="89" t="s">
        <v>98</v>
      </c>
      <c r="E35" s="67" t="n">
        <f aca="false">IFERROR(__xludf.dummyfunction("COUNTA(SPLIT(D35,"" ""))/COUNTA(SPLIT($B$32,"" ""))"),0.211328976034858)</f>
        <v>0.211328976</v>
      </c>
      <c r="F35" s="6" t="n">
        <v>3</v>
      </c>
      <c r="G35" s="6" t="n">
        <v>5</v>
      </c>
      <c r="H35" s="6" t="n">
        <v>5</v>
      </c>
      <c r="I35" s="6" t="n">
        <v>3</v>
      </c>
      <c r="J35" s="6" t="n">
        <v>3</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59</v>
      </c>
      <c r="B37" s="55" t="s">
        <v>60</v>
      </c>
      <c r="C37" s="56" t="s">
        <v>18</v>
      </c>
      <c r="D37" s="63" t="s">
        <v>99</v>
      </c>
      <c r="E37" s="81" t="n">
        <f aca="false">IFERROR(__xludf.dummyfunction("COUNTA(SPLIT(D37,"" ""))/COUNTA(SPLIT($B$37,"" ""))"),1.49068322981366)</f>
        <v>1.49068323</v>
      </c>
      <c r="F37" s="56" t="n">
        <v>4</v>
      </c>
      <c r="G37" s="56" t="n">
        <v>5</v>
      </c>
      <c r="H37" s="56" t="n">
        <v>1</v>
      </c>
      <c r="I37" s="56" t="n">
        <v>1</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6" t="s">
        <v>19</v>
      </c>
      <c r="D38" s="49" t="s">
        <v>100</v>
      </c>
      <c r="E38" s="107" t="n">
        <f aca="false">IFERROR(__xludf.dummyfunction("COUNTA(SPLIT(D38,"" ""))/COUNTA(SPLIT($B$37,"" ""))"),0.596273291925466)</f>
        <v>0.5962732919</v>
      </c>
      <c r="F38" s="6" t="n">
        <v>3</v>
      </c>
      <c r="G38" s="6" t="n">
        <v>3</v>
      </c>
      <c r="H38" s="6" t="n">
        <v>5</v>
      </c>
      <c r="I38" s="6" t="n">
        <v>3</v>
      </c>
      <c r="J38" s="6" t="n">
        <v>5</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6" t="s">
        <v>8</v>
      </c>
      <c r="D39" s="89" t="s">
        <v>101</v>
      </c>
      <c r="E39" s="93" t="n">
        <f aca="false">IFERROR(__xludf.dummyfunction("COUNTA(SPLIT(D39,"" ""))/COUNTA(SPLIT($B$37,"" ""))"),0.583850931677019)</f>
        <v>0.5838509317</v>
      </c>
      <c r="F39" s="6" t="n">
        <v>3</v>
      </c>
      <c r="G39" s="6" t="n">
        <v>3</v>
      </c>
      <c r="H39" s="6" t="n">
        <v>5</v>
      </c>
      <c r="I39" s="6" t="n">
        <v>3</v>
      </c>
      <c r="J39" s="6" t="n">
        <v>5</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6" t="s">
        <v>20</v>
      </c>
      <c r="D40" s="89" t="s">
        <v>102</v>
      </c>
      <c r="E40" s="84" t="n">
        <f aca="false">IFERROR(__xludf.dummyfunction("COUNTA(SPLIT(D40,"" ""))/COUNTA(SPLIT($B$37,"" ""))"),0.614906832298137)</f>
        <v>0.6149068323</v>
      </c>
      <c r="F40" s="6" t="n">
        <v>4</v>
      </c>
      <c r="G40" s="6" t="n">
        <v>5</v>
      </c>
      <c r="H40" s="6" t="n">
        <v>5</v>
      </c>
      <c r="I40" s="6" t="n">
        <v>3</v>
      </c>
      <c r="J40" s="6" t="n">
        <v>5</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63" t="s">
        <v>103</v>
      </c>
      <c r="E42" s="81" t="n">
        <f aca="false">IFERROR(__xludf.dummyfunction("COUNTA(SPLIT(D42,"" ""))/COUNTA(SPLIT($B$42,"" ""))"),0.166931637519873)</f>
        <v>0.1669316375</v>
      </c>
      <c r="F42" s="56" t="n">
        <v>3</v>
      </c>
      <c r="G42" s="56" t="n">
        <v>5</v>
      </c>
      <c r="H42" s="56" t="n">
        <v>5</v>
      </c>
      <c r="I42" s="56" t="n">
        <v>5</v>
      </c>
      <c r="J42" s="56" t="n">
        <v>5</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89" t="s">
        <v>104</v>
      </c>
      <c r="E43" s="81" t="n">
        <f aca="false">IFERROR(__xludf.dummyfunction("COUNTA(SPLIT(D43,"" ""))/COUNTA(SPLIT($B$42,"" ""))"),0.178060413354531)</f>
        <v>0.1780604134</v>
      </c>
      <c r="F43" s="6" t="n">
        <v>3</v>
      </c>
      <c r="G43" s="6" t="n">
        <v>5</v>
      </c>
      <c r="H43" s="6" t="n">
        <v>4</v>
      </c>
      <c r="I43" s="6" t="n">
        <v>3</v>
      </c>
      <c r="J43" s="6" t="n">
        <v>5</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105</v>
      </c>
      <c r="E44" s="108" t="n">
        <f aca="false">IFERROR(__xludf.dummyfunction("COUNTA(SPLIT(D44,"" ""))/COUNTA(SPLIT($B$42,"" ""))"),0.198728139904611)</f>
        <v>0.1987281399</v>
      </c>
      <c r="F44" s="6" t="n">
        <v>3</v>
      </c>
      <c r="G44" s="6" t="n">
        <v>5</v>
      </c>
      <c r="H44" s="6" t="n">
        <v>4</v>
      </c>
      <c r="I44" s="6" t="n">
        <v>4</v>
      </c>
      <c r="J44" s="6" t="n">
        <v>5</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106</v>
      </c>
      <c r="E45" s="104" t="n">
        <f aca="false">IFERROR(__xludf.dummyfunction("COUNTA(SPLIT(D45,"" ""))/COUNTA(SPLIT($B$42,"" ""))"),0.329093799682035)</f>
        <v>0.3290937997</v>
      </c>
      <c r="F45" s="6" t="n">
        <v>3</v>
      </c>
      <c r="G45" s="6" t="n">
        <v>5</v>
      </c>
      <c r="H45" s="6" t="n">
        <v>1</v>
      </c>
      <c r="I45" s="6" t="n">
        <v>4</v>
      </c>
      <c r="J45" s="6" t="n">
        <v>5</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63" t="s">
        <v>107</v>
      </c>
      <c r="E47" s="109" t="n">
        <f aca="false">IFERROR(__xludf.dummyfunction("COUNTA(SPLIT(D47,"" ""))/COUNTA(SPLIT($B$47,"" ""))"),0.385931558935361)</f>
        <v>0.3859315589</v>
      </c>
      <c r="F47" s="56" t="n">
        <v>3</v>
      </c>
      <c r="G47" s="56" t="n">
        <v>5</v>
      </c>
      <c r="H47" s="56" t="n">
        <v>1</v>
      </c>
      <c r="I47" s="56" t="n">
        <v>2</v>
      </c>
      <c r="J47" s="56" t="n">
        <v>5</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49" t="s">
        <v>108</v>
      </c>
      <c r="E48" s="77" t="n">
        <f aca="false">IFERROR(__xludf.dummyfunction("COUNTA(SPLIT(D48,"" ""))/COUNTA(SPLIT($B$47,"" ""))"),0.230038022813688)</f>
        <v>0.2300380228</v>
      </c>
      <c r="F48" s="6" t="n">
        <v>3</v>
      </c>
      <c r="G48" s="6" t="n">
        <v>3</v>
      </c>
      <c r="H48" s="6" t="n">
        <v>3</v>
      </c>
      <c r="I48" s="6" t="n">
        <v>3</v>
      </c>
      <c r="J48" s="6" t="n">
        <v>4</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109</v>
      </c>
      <c r="E49" s="78" t="n">
        <f aca="false">IFERROR(__xludf.dummyfunction("COUNTA(SPLIT(D49,"" ""))/COUNTA(SPLIT($B$47,"" ""))"),0.258555133079848)</f>
        <v>0.2585551331</v>
      </c>
      <c r="F49" s="6" t="n">
        <v>2</v>
      </c>
      <c r="G49" s="6" t="n">
        <v>5</v>
      </c>
      <c r="H49" s="6" t="n">
        <v>5</v>
      </c>
      <c r="I49" s="6" t="n">
        <v>3</v>
      </c>
      <c r="J49" s="6" t="n">
        <v>5</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110</v>
      </c>
      <c r="E50" s="79" t="n">
        <f aca="false">IFERROR(__xludf.dummyfunction("COUNTA(SPLIT(D50,"" ""))/COUNTA(SPLIT($B$47,"" ""))"),0.20722433460076)</f>
        <v>0.2072243346</v>
      </c>
      <c r="F50" s="6" t="n">
        <v>3</v>
      </c>
      <c r="G50" s="6" t="n">
        <v>5</v>
      </c>
      <c r="H50" s="6" t="n">
        <v>5</v>
      </c>
      <c r="I50" s="6" t="n">
        <v>4</v>
      </c>
      <c r="J50" s="6" t="n">
        <v>5</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6"/>
      <c r="B52" s="55"/>
      <c r="C52" s="56" t="s">
        <v>18</v>
      </c>
      <c r="D52" s="63"/>
      <c r="E52" s="75" t="n">
        <f aca="false">IFERROR(__xludf.dummyfunction("COUNTA(SPLIT(D52,"" ""))/COUNTA(SPLIT($B$47,"" ""))"),0.00190114068441065)</f>
        <v>0.001901140684</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6"/>
      <c r="B53" s="76"/>
      <c r="C53" s="6" t="s">
        <v>19</v>
      </c>
      <c r="D53" s="49"/>
      <c r="E53" s="77" t="n">
        <f aca="false">IFERROR(__xludf.dummyfunction("COUNTA(SPLIT(D53,"" ""))/COUNTA(SPLIT($B$47,"" ""))"),0.00190114068441065)</f>
        <v>0.001901140684</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6"/>
      <c r="B54" s="76"/>
      <c r="C54" s="6" t="s">
        <v>8</v>
      </c>
      <c r="D54" s="49"/>
      <c r="E54" s="78" t="n">
        <f aca="false">IFERROR(__xludf.dummyfunction("COUNTA(SPLIT(D54,"" ""))/COUNTA(SPLIT($B$47,"" ""))"),0.00190114068441065)</f>
        <v>0.001901140684</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6"/>
      <c r="B55" s="76"/>
      <c r="C55" s="6" t="s">
        <v>20</v>
      </c>
      <c r="D55" s="49"/>
      <c r="E55" s="79" t="n">
        <f aca="false">IFERROR(__xludf.dummyfunction("COUNTA(SPLIT(D55,"" ""))/COUNTA(SPLIT($B$47,"" ""))"),0.00190114068441065)</f>
        <v>0.001901140684</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6"/>
      <c r="B57" s="55"/>
      <c r="C57" s="56" t="s">
        <v>18</v>
      </c>
      <c r="D57" s="63"/>
      <c r="E57" s="75" t="n">
        <f aca="false">IFERROR(__xludf.dummyfunction("COUNTA(SPLIT(D57,"" ""))/COUNTA(SPLIT($B$47,"" ""))"),0.00190114068441065)</f>
        <v>0.001901140684</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6"/>
      <c r="B58" s="76"/>
      <c r="C58" s="6" t="s">
        <v>19</v>
      </c>
      <c r="D58" s="49"/>
      <c r="E58" s="77" t="n">
        <f aca="false">IFERROR(__xludf.dummyfunction("COUNTA(SPLIT(D58,"" ""))/COUNTA(SPLIT($B$47,"" ""))"),0.00190114068441065)</f>
        <v>0.001901140684</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6"/>
      <c r="B59" s="76"/>
      <c r="C59" s="6" t="s">
        <v>8</v>
      </c>
      <c r="D59" s="49"/>
      <c r="E59" s="78" t="n">
        <f aca="false">IFERROR(__xludf.dummyfunction("COUNTA(SPLIT(D59,"" ""))/COUNTA(SPLIT($B$47,"" ""))"),0.00190114068441065)</f>
        <v>0.001901140684</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6"/>
      <c r="B60" s="76"/>
      <c r="C60" s="6" t="s">
        <v>20</v>
      </c>
      <c r="D60" s="49"/>
      <c r="E60" s="79" t="n">
        <f aca="false">IFERROR(__xludf.dummyfunction("COUNTA(SPLIT(D60,"" ""))/COUNTA(SPLIT($B$47,"" ""))"),0.00190114068441065)</f>
        <v>0.001901140684</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6"/>
      <c r="B62" s="55"/>
      <c r="C62" s="56" t="s">
        <v>18</v>
      </c>
      <c r="D62" s="63"/>
      <c r="E62" s="75" t="n">
        <f aca="false">IFERROR(__xludf.dummyfunction("COUNTA(SPLIT(D62,"" ""))/COUNTA(SPLIT($B$47,"" ""))"),0.00190114068441065)</f>
        <v>0.001901140684</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6"/>
      <c r="B63" s="76"/>
      <c r="C63" s="6" t="s">
        <v>19</v>
      </c>
      <c r="D63" s="49"/>
      <c r="E63" s="77" t="n">
        <f aca="false">IFERROR(__xludf.dummyfunction("COUNTA(SPLIT(D63,"" ""))/COUNTA(SPLIT($B$47,"" ""))"),0.00190114068441065)</f>
        <v>0.001901140684</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6"/>
      <c r="B64" s="76"/>
      <c r="C64" s="6" t="s">
        <v>8</v>
      </c>
      <c r="D64" s="49"/>
      <c r="E64" s="78" t="n">
        <f aca="false">IFERROR(__xludf.dummyfunction("COUNTA(SPLIT(D64,"" ""))/COUNTA(SPLIT($B$47,"" ""))"),0.00190114068441065)</f>
        <v>0.001901140684</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6"/>
      <c r="B65" s="76"/>
      <c r="C65" s="6" t="s">
        <v>20</v>
      </c>
      <c r="D65" s="49"/>
      <c r="E65" s="79" t="n">
        <f aca="false">IFERROR(__xludf.dummyfunction("COUNTA(SPLIT(D65,"" ""))/COUNTA(SPLIT($B$47,"" ""))"),0.00190114068441065)</f>
        <v>0.001901140684</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6"/>
      <c r="B67" s="55"/>
      <c r="C67" s="56" t="s">
        <v>18</v>
      </c>
      <c r="D67" s="63"/>
      <c r="E67" s="75" t="n">
        <f aca="false">IFERROR(__xludf.dummyfunction("COUNTA(SPLIT(D67,"" ""))/COUNTA(SPLIT($B$47,"" ""))"),0.00190114068441065)</f>
        <v>0.001901140684</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6"/>
      <c r="B68" s="76"/>
      <c r="C68" s="6" t="s">
        <v>19</v>
      </c>
      <c r="D68" s="49"/>
      <c r="E68" s="77" t="n">
        <f aca="false">IFERROR(__xludf.dummyfunction("COUNTA(SPLIT(D68,"" ""))/COUNTA(SPLIT($B$47,"" ""))"),0.00190114068441065)</f>
        <v>0.001901140684</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6"/>
      <c r="B69" s="76"/>
      <c r="C69" s="6" t="s">
        <v>8</v>
      </c>
      <c r="D69" s="49"/>
      <c r="E69" s="78" t="n">
        <f aca="false">IFERROR(__xludf.dummyfunction("COUNTA(SPLIT(D69,"" ""))/COUNTA(SPLIT($B$47,"" ""))"),0.00190114068441065)</f>
        <v>0.001901140684</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6"/>
      <c r="B70" s="76"/>
      <c r="C70" s="6" t="s">
        <v>20</v>
      </c>
      <c r="D70" s="49"/>
      <c r="E70" s="79" t="n">
        <f aca="false">IFERROR(__xludf.dummyfunction("COUNTA(SPLIT(D70,"" ""))/COUNTA(SPLIT($B$47,"" ""))"),0.00190114068441065)</f>
        <v>0.001901140684</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6"/>
      <c r="B72" s="55"/>
      <c r="C72" s="56" t="s">
        <v>18</v>
      </c>
      <c r="D72" s="63"/>
      <c r="E72" s="75" t="n">
        <f aca="false">IFERROR(__xludf.dummyfunction("COUNTA(SPLIT(D72,"" ""))/COUNTA(SPLIT($B$47,"" ""))"),0.00190114068441065)</f>
        <v>0.001901140684</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6"/>
      <c r="B73" s="76"/>
      <c r="C73" s="6" t="s">
        <v>19</v>
      </c>
      <c r="D73" s="49"/>
      <c r="E73" s="77" t="n">
        <f aca="false">IFERROR(__xludf.dummyfunction("COUNTA(SPLIT(D73,"" ""))/COUNTA(SPLIT($B$47,"" ""))"),0.00190114068441065)</f>
        <v>0.001901140684</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6"/>
      <c r="B74" s="76"/>
      <c r="C74" s="6" t="s">
        <v>8</v>
      </c>
      <c r="D74" s="49"/>
      <c r="E74" s="78" t="n">
        <f aca="false">IFERROR(__xludf.dummyfunction("COUNTA(SPLIT(D74,"" ""))/COUNTA(SPLIT($B$47,"" ""))"),0.00190114068441065)</f>
        <v>0.001901140684</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6"/>
      <c r="B75" s="76"/>
      <c r="C75" s="6" t="s">
        <v>20</v>
      </c>
      <c r="D75" s="49"/>
      <c r="E75" s="79" t="n">
        <f aca="false">IFERROR(__xludf.dummyfunction("COUNTA(SPLIT(D75,"" ""))/COUNTA(SPLIT($B$47,"" ""))"),0.00190114068441065)</f>
        <v>0.001901140684</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6"/>
      <c r="B77" s="55"/>
      <c r="C77" s="56" t="s">
        <v>18</v>
      </c>
      <c r="D77" s="63"/>
      <c r="E77" s="75" t="n">
        <f aca="false">IFERROR(__xludf.dummyfunction("COUNTA(SPLIT(D77,"" ""))/COUNTA(SPLIT($B$47,"" ""))"),0.00190114068441065)</f>
        <v>0.001901140684</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6"/>
      <c r="B78" s="76"/>
      <c r="C78" s="6" t="s">
        <v>19</v>
      </c>
      <c r="D78" s="49"/>
      <c r="E78" s="77" t="n">
        <f aca="false">IFERROR(__xludf.dummyfunction("COUNTA(SPLIT(D78,"" ""))/COUNTA(SPLIT($B$47,"" ""))"),0.00190114068441065)</f>
        <v>0.001901140684</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6"/>
      <c r="B79" s="76"/>
      <c r="C79" s="6" t="s">
        <v>8</v>
      </c>
      <c r="D79" s="49"/>
      <c r="E79" s="78" t="n">
        <f aca="false">IFERROR(__xludf.dummyfunction("COUNTA(SPLIT(D79,"" ""))/COUNTA(SPLIT($B$47,"" ""))"),0.00190114068441065)</f>
        <v>0.001901140684</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6"/>
      <c r="B80" s="76"/>
      <c r="C80" s="6" t="s">
        <v>20</v>
      </c>
      <c r="D80" s="49"/>
      <c r="E80" s="79" t="n">
        <f aca="false">IFERROR(__xludf.dummyfunction("COUNTA(SPLIT(D80,"" ""))/COUNTA(SPLIT($B$47,"" ""))"),0.00190114068441065)</f>
        <v>0.001901140684</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6"/>
      <c r="B82" s="55"/>
      <c r="C82" s="56" t="s">
        <v>18</v>
      </c>
      <c r="D82" s="63"/>
      <c r="E82" s="75" t="n">
        <f aca="false">IFERROR(__xludf.dummyfunction("COUNTA(SPLIT(D82,"" ""))/COUNTA(SPLIT($B$47,"" ""))"),0.00190114068441065)</f>
        <v>0.001901140684</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6"/>
      <c r="B83" s="76"/>
      <c r="C83" s="6" t="s">
        <v>19</v>
      </c>
      <c r="D83" s="49"/>
      <c r="E83" s="77" t="n">
        <f aca="false">IFERROR(__xludf.dummyfunction("COUNTA(SPLIT(D83,"" ""))/COUNTA(SPLIT($B$47,"" ""))"),0.00190114068441065)</f>
        <v>0.001901140684</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6"/>
      <c r="B84" s="76"/>
      <c r="C84" s="6" t="s">
        <v>8</v>
      </c>
      <c r="D84" s="49"/>
      <c r="E84" s="78" t="n">
        <f aca="false">IFERROR(__xludf.dummyfunction("COUNTA(SPLIT(D84,"" ""))/COUNTA(SPLIT($B$47,"" ""))"),0.00190114068441065)</f>
        <v>0.001901140684</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6"/>
      <c r="B85" s="76"/>
      <c r="C85" s="6" t="s">
        <v>20</v>
      </c>
      <c r="D85" s="49"/>
      <c r="E85" s="79" t="n">
        <f aca="false">IFERROR(__xludf.dummyfunction("COUNTA(SPLIT(D85,"" ""))/COUNTA(SPLIT($B$47,"" ""))"),0.00190114068441065)</f>
        <v>0.001901140684</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6"/>
      <c r="B87" s="55"/>
      <c r="C87" s="56" t="s">
        <v>18</v>
      </c>
      <c r="D87" s="63"/>
      <c r="E87" s="75" t="n">
        <f aca="false">IFERROR(__xludf.dummyfunction("COUNTA(SPLIT(D87,"" ""))/COUNTA(SPLIT($B$47,"" ""))"),0.00190114068441065)</f>
        <v>0.001901140684</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6"/>
      <c r="B88" s="76"/>
      <c r="C88" s="6" t="s">
        <v>19</v>
      </c>
      <c r="D88" s="49"/>
      <c r="E88" s="77" t="n">
        <f aca="false">IFERROR(__xludf.dummyfunction("COUNTA(SPLIT(D88,"" ""))/COUNTA(SPLIT($B$47,"" ""))"),0.00190114068441065)</f>
        <v>0.001901140684</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6"/>
      <c r="B89" s="76"/>
      <c r="C89" s="6" t="s">
        <v>8</v>
      </c>
      <c r="D89" s="49"/>
      <c r="E89" s="78" t="n">
        <f aca="false">IFERROR(__xludf.dummyfunction("COUNTA(SPLIT(D89,"" ""))/COUNTA(SPLIT($B$47,"" ""))"),0.00190114068441065)</f>
        <v>0.001901140684</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6"/>
      <c r="B90" s="76"/>
      <c r="C90" s="6" t="s">
        <v>20</v>
      </c>
      <c r="D90" s="49"/>
      <c r="E90" s="79" t="n">
        <f aca="false">IFERROR(__xludf.dummyfunction("COUNTA(SPLIT(D90,"" ""))/COUNTA(SPLIT($B$47,"" ""))"),0.00190114068441065)</f>
        <v>0.001901140684</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6"/>
      <c r="B92" s="55"/>
      <c r="C92" s="56" t="s">
        <v>18</v>
      </c>
      <c r="D92" s="63"/>
      <c r="E92" s="75" t="n">
        <f aca="false">IFERROR(__xludf.dummyfunction("COUNTA(SPLIT(D92,"" ""))/COUNTA(SPLIT($B$47,"" ""))"),0.00190114068441065)</f>
        <v>0.001901140684</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6"/>
      <c r="B93" s="76"/>
      <c r="C93" s="6" t="s">
        <v>19</v>
      </c>
      <c r="D93" s="49"/>
      <c r="E93" s="77" t="n">
        <f aca="false">IFERROR(__xludf.dummyfunction("COUNTA(SPLIT(D93,"" ""))/COUNTA(SPLIT($B$47,"" ""))"),0.00190114068441065)</f>
        <v>0.001901140684</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6"/>
      <c r="B94" s="76"/>
      <c r="C94" s="6" t="s">
        <v>8</v>
      </c>
      <c r="D94" s="49"/>
      <c r="E94" s="78" t="n">
        <f aca="false">IFERROR(__xludf.dummyfunction("COUNTA(SPLIT(D94,"" ""))/COUNTA(SPLIT($B$47,"" ""))"),0.00190114068441065)</f>
        <v>0.001901140684</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6"/>
      <c r="B95" s="76"/>
      <c r="C95" s="6" t="s">
        <v>20</v>
      </c>
      <c r="D95" s="49"/>
      <c r="E95" s="79" t="n">
        <f aca="false">IFERROR(__xludf.dummyfunction("COUNTA(SPLIT(D95,"" ""))/COUNTA(SPLIT($B$47,"" ""))"),0.00190114068441065)</f>
        <v>0.001901140684</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6"/>
      <c r="B97" s="55"/>
      <c r="C97" s="56" t="s">
        <v>18</v>
      </c>
      <c r="D97" s="63"/>
      <c r="E97" s="75" t="n">
        <f aca="false">IFERROR(__xludf.dummyfunction("COUNTA(SPLIT(D97,"" ""))/COUNTA(SPLIT($B$47,"" ""))"),0.00190114068441065)</f>
        <v>0.001901140684</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6"/>
      <c r="B98" s="76"/>
      <c r="C98" s="6" t="s">
        <v>19</v>
      </c>
      <c r="D98" s="49"/>
      <c r="E98" s="77" t="n">
        <f aca="false">IFERROR(__xludf.dummyfunction("COUNTA(SPLIT(D98,"" ""))/COUNTA(SPLIT($B$47,"" ""))"),0.00190114068441065)</f>
        <v>0.001901140684</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6"/>
      <c r="B99" s="76"/>
      <c r="C99" s="6" t="s">
        <v>8</v>
      </c>
      <c r="D99" s="49"/>
      <c r="E99" s="78" t="n">
        <f aca="false">IFERROR(__xludf.dummyfunction("COUNTA(SPLIT(D99,"" ""))/COUNTA(SPLIT($B$47,"" ""))"),0.00190114068441065)</f>
        <v>0.001901140684</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6"/>
      <c r="B100" s="76"/>
      <c r="C100" s="6" t="s">
        <v>20</v>
      </c>
      <c r="D100" s="49"/>
      <c r="E100" s="79" t="n">
        <f aca="false">IFERROR(__xludf.dummyfunction("COUNTA(SPLIT(D100,"" ""))/COUNTA(SPLIT($B$47,"" ""))"),0.00190114068441065)</f>
        <v>0.001901140684</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6"/>
      <c r="B102" s="55"/>
      <c r="C102" s="56" t="s">
        <v>18</v>
      </c>
      <c r="D102" s="63"/>
      <c r="E102" s="75" t="n">
        <f aca="false">IFERROR(__xludf.dummyfunction("COUNTA(SPLIT(D102,"" ""))/COUNTA(SPLIT($B$47,"" ""))"),0.00190114068441065)</f>
        <v>0.001901140684</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6"/>
      <c r="B103" s="76"/>
      <c r="C103" s="6" t="s">
        <v>19</v>
      </c>
      <c r="D103" s="49"/>
      <c r="E103" s="77" t="n">
        <f aca="false">IFERROR(__xludf.dummyfunction("COUNTA(SPLIT(D103,"" ""))/COUNTA(SPLIT($B$47,"" ""))"),0.00190114068441065)</f>
        <v>0.001901140684</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6"/>
      <c r="B104" s="76"/>
      <c r="C104" s="6" t="s">
        <v>8</v>
      </c>
      <c r="D104" s="49"/>
      <c r="E104" s="78" t="n">
        <f aca="false">IFERROR(__xludf.dummyfunction("COUNTA(SPLIT(D104,"" ""))/COUNTA(SPLIT($B$47,"" ""))"),0.00190114068441065)</f>
        <v>0.001901140684</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6"/>
      <c r="B105" s="76"/>
      <c r="C105" s="6" t="s">
        <v>20</v>
      </c>
      <c r="D105" s="49"/>
      <c r="E105" s="79" t="n">
        <f aca="false">IFERROR(__xludf.dummyfunction("COUNTA(SPLIT(D105,"" ""))/COUNTA(SPLIT($B$47,"" ""))"),0.00190114068441065)</f>
        <v>0.001901140684</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6"/>
      <c r="B107" s="55"/>
      <c r="C107" s="56" t="s">
        <v>18</v>
      </c>
      <c r="D107" s="63"/>
      <c r="E107" s="75" t="n">
        <f aca="false">IFERROR(__xludf.dummyfunction("COUNTA(SPLIT(D107,"" ""))/COUNTA(SPLIT($B$47,"" ""))"),0.00190114068441065)</f>
        <v>0.001901140684</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6"/>
      <c r="B108" s="76"/>
      <c r="C108" s="6" t="s">
        <v>19</v>
      </c>
      <c r="D108" s="49"/>
      <c r="E108" s="77" t="n">
        <f aca="false">IFERROR(__xludf.dummyfunction("COUNTA(SPLIT(D108,"" ""))/COUNTA(SPLIT($B$47,"" ""))"),0.00190114068441065)</f>
        <v>0.001901140684</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6"/>
      <c r="B109" s="76"/>
      <c r="C109" s="6" t="s">
        <v>8</v>
      </c>
      <c r="D109" s="49"/>
      <c r="E109" s="78" t="n">
        <f aca="false">IFERROR(__xludf.dummyfunction("COUNTA(SPLIT(D109,"" ""))/COUNTA(SPLIT($B$47,"" ""))"),0.00190114068441065)</f>
        <v>0.001901140684</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6"/>
      <c r="B110" s="76"/>
      <c r="C110" s="6" t="s">
        <v>20</v>
      </c>
      <c r="D110" s="49"/>
      <c r="E110" s="79" t="n">
        <f aca="false">IFERROR(__xludf.dummyfunction("COUNTA(SPLIT(D110,"" ""))/COUNTA(SPLIT($B$47,"" ""))"),0.00190114068441065)</f>
        <v>0.001901140684</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6"/>
      <c r="B112" s="55"/>
      <c r="C112" s="56" t="s">
        <v>18</v>
      </c>
      <c r="D112" s="63"/>
      <c r="E112" s="75" t="n">
        <f aca="false">IFERROR(__xludf.dummyfunction("COUNTA(SPLIT(D112,"" ""))/COUNTA(SPLIT($B$47,"" ""))"),0.00190114068441065)</f>
        <v>0.001901140684</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6"/>
      <c r="B113" s="76"/>
      <c r="C113" s="6" t="s">
        <v>19</v>
      </c>
      <c r="D113" s="49"/>
      <c r="E113" s="77" t="n">
        <f aca="false">IFERROR(__xludf.dummyfunction("COUNTA(SPLIT(D113,"" ""))/COUNTA(SPLIT($B$47,"" ""))"),0.00190114068441065)</f>
        <v>0.001901140684</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6"/>
      <c r="B114" s="76"/>
      <c r="C114" s="6" t="s">
        <v>8</v>
      </c>
      <c r="D114" s="49"/>
      <c r="E114" s="78" t="n">
        <f aca="false">IFERROR(__xludf.dummyfunction("COUNTA(SPLIT(D114,"" ""))/COUNTA(SPLIT($B$47,"" ""))"),0.00190114068441065)</f>
        <v>0.001901140684</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6"/>
      <c r="B115" s="76"/>
      <c r="C115" s="6" t="s">
        <v>20</v>
      </c>
      <c r="D115" s="49"/>
      <c r="E115" s="79" t="n">
        <f aca="false">IFERROR(__xludf.dummyfunction("COUNTA(SPLIT(D115,"" ""))/COUNTA(SPLIT($B$47,"" ""))"),0.00190114068441065)</f>
        <v>0.001901140684</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6"/>
      <c r="B117" s="55"/>
      <c r="C117" s="56" t="s">
        <v>18</v>
      </c>
      <c r="D117" s="63"/>
      <c r="E117" s="75" t="n">
        <f aca="false">IFERROR(__xludf.dummyfunction("COUNTA(SPLIT(D117,"" ""))/COUNTA(SPLIT($B$47,"" ""))"),0.00190114068441065)</f>
        <v>0.001901140684</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6"/>
      <c r="B118" s="76"/>
      <c r="C118" s="6" t="s">
        <v>19</v>
      </c>
      <c r="D118" s="49"/>
      <c r="E118" s="77" t="n">
        <f aca="false">IFERROR(__xludf.dummyfunction("COUNTA(SPLIT(D118,"" ""))/COUNTA(SPLIT($B$47,"" ""))"),0.00190114068441065)</f>
        <v>0.001901140684</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6"/>
      <c r="B119" s="76"/>
      <c r="C119" s="6" t="s">
        <v>8</v>
      </c>
      <c r="D119" s="49"/>
      <c r="E119" s="78" t="n">
        <f aca="false">IFERROR(__xludf.dummyfunction("COUNTA(SPLIT(D119,"" ""))/COUNTA(SPLIT($B$47,"" ""))"),0.00190114068441065)</f>
        <v>0.001901140684</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6"/>
      <c r="B120" s="76"/>
      <c r="C120" s="6" t="s">
        <v>20</v>
      </c>
      <c r="D120" s="49"/>
      <c r="E120" s="79" t="n">
        <f aca="false">IFERROR(__xludf.dummyfunction("COUNTA(SPLIT(D120,"" ""))/COUNTA(SPLIT($B$47,"" ""))"),0.00190114068441065)</f>
        <v>0.001901140684</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6"/>
      <c r="B122" s="55"/>
      <c r="C122" s="56" t="s">
        <v>18</v>
      </c>
      <c r="D122" s="63"/>
      <c r="E122" s="75" t="n">
        <f aca="false">IFERROR(__xludf.dummyfunction("COUNTA(SPLIT(D122,"" ""))/COUNTA(SPLIT($B$47,"" ""))"),0.00190114068441065)</f>
        <v>0.001901140684</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6"/>
      <c r="B123" s="76"/>
      <c r="C123" s="6" t="s">
        <v>19</v>
      </c>
      <c r="D123" s="49"/>
      <c r="E123" s="77" t="n">
        <f aca="false">IFERROR(__xludf.dummyfunction("COUNTA(SPLIT(D123,"" ""))/COUNTA(SPLIT($B$47,"" ""))"),0.00190114068441065)</f>
        <v>0.001901140684</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6"/>
      <c r="B124" s="76"/>
      <c r="C124" s="6" t="s">
        <v>8</v>
      </c>
      <c r="D124" s="49"/>
      <c r="E124" s="78" t="n">
        <f aca="false">IFERROR(__xludf.dummyfunction("COUNTA(SPLIT(D124,"" ""))/COUNTA(SPLIT($B$47,"" ""))"),0.00190114068441065)</f>
        <v>0.001901140684</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6"/>
      <c r="B125" s="76"/>
      <c r="C125" s="6" t="s">
        <v>20</v>
      </c>
      <c r="D125" s="49"/>
      <c r="E125" s="79" t="n">
        <f aca="false">IFERROR(__xludf.dummyfunction("COUNTA(SPLIT(D125,"" ""))/COUNTA(SPLIT($B$47,"" ""))"),0.00190114068441065)</f>
        <v>0.001901140684</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6"/>
      <c r="B127" s="55"/>
      <c r="C127" s="56" t="s">
        <v>18</v>
      </c>
      <c r="D127" s="63"/>
      <c r="E127" s="75" t="n">
        <f aca="false">IFERROR(__xludf.dummyfunction("COUNTA(SPLIT(D127,"" ""))/COUNTA(SPLIT($B$47,"" ""))"),0.00190114068441065)</f>
        <v>0.001901140684</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6"/>
      <c r="B128" s="76"/>
      <c r="C128" s="6" t="s">
        <v>19</v>
      </c>
      <c r="D128" s="49"/>
      <c r="E128" s="77" t="n">
        <f aca="false">IFERROR(__xludf.dummyfunction("COUNTA(SPLIT(D128,"" ""))/COUNTA(SPLIT($B$47,"" ""))"),0.00190114068441065)</f>
        <v>0.001901140684</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6"/>
      <c r="B129" s="76"/>
      <c r="C129" s="6" t="s">
        <v>8</v>
      </c>
      <c r="D129" s="49"/>
      <c r="E129" s="78" t="n">
        <f aca="false">IFERROR(__xludf.dummyfunction("COUNTA(SPLIT(D129,"" ""))/COUNTA(SPLIT($B$47,"" ""))"),0.00190114068441065)</f>
        <v>0.001901140684</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6"/>
      <c r="B130" s="76"/>
      <c r="C130" s="6" t="s">
        <v>20</v>
      </c>
      <c r="D130" s="49"/>
      <c r="E130" s="79" t="n">
        <f aca="false">IFERROR(__xludf.dummyfunction("COUNTA(SPLIT(D130,"" ""))/COUNTA(SPLIT($B$47,"" ""))"),0.00190114068441065)</f>
        <v>0.001901140684</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6"/>
      <c r="B132" s="55"/>
      <c r="C132" s="56" t="s">
        <v>18</v>
      </c>
      <c r="D132" s="63"/>
      <c r="E132" s="75" t="n">
        <f aca="false">IFERROR(__xludf.dummyfunction("COUNTA(SPLIT(D132,"" ""))/COUNTA(SPLIT($B$47,"" ""))"),0.00190114068441065)</f>
        <v>0.001901140684</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6"/>
      <c r="B133" s="76"/>
      <c r="C133" s="6" t="s">
        <v>19</v>
      </c>
      <c r="D133" s="49"/>
      <c r="E133" s="77" t="n">
        <f aca="false">IFERROR(__xludf.dummyfunction("COUNTA(SPLIT(D133,"" ""))/COUNTA(SPLIT($B$47,"" ""))"),0.00190114068441065)</f>
        <v>0.001901140684</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6"/>
      <c r="B134" s="76"/>
      <c r="C134" s="6" t="s">
        <v>8</v>
      </c>
      <c r="D134" s="49"/>
      <c r="E134" s="78" t="n">
        <f aca="false">IFERROR(__xludf.dummyfunction("COUNTA(SPLIT(D134,"" ""))/COUNTA(SPLIT($B$47,"" ""))"),0.00190114068441065)</f>
        <v>0.001901140684</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6"/>
      <c r="B135" s="76"/>
      <c r="C135" s="6" t="s">
        <v>20</v>
      </c>
      <c r="D135" s="49"/>
      <c r="E135" s="79" t="n">
        <f aca="false">IFERROR(__xludf.dummyfunction("COUNTA(SPLIT(D135,"" ""))/COUNTA(SPLIT($B$47,"" ""))"),0.00190114068441065)</f>
        <v>0.001901140684</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6"/>
      <c r="B137" s="55"/>
      <c r="C137" s="56" t="s">
        <v>18</v>
      </c>
      <c r="D137" s="63"/>
      <c r="E137" s="75" t="n">
        <f aca="false">IFERROR(__xludf.dummyfunction("COUNTA(SPLIT(D137,"" ""))/COUNTA(SPLIT($B$47,"" ""))"),0.00190114068441065)</f>
        <v>0.001901140684</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6"/>
      <c r="B138" s="76"/>
      <c r="C138" s="6" t="s">
        <v>19</v>
      </c>
      <c r="D138" s="49"/>
      <c r="E138" s="77" t="n">
        <f aca="false">IFERROR(__xludf.dummyfunction("COUNTA(SPLIT(D138,"" ""))/COUNTA(SPLIT($B$47,"" ""))"),0.00190114068441065)</f>
        <v>0.001901140684</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6"/>
      <c r="B139" s="76"/>
      <c r="C139" s="6" t="s">
        <v>8</v>
      </c>
      <c r="D139" s="49"/>
      <c r="E139" s="78" t="n">
        <f aca="false">IFERROR(__xludf.dummyfunction("COUNTA(SPLIT(D139,"" ""))/COUNTA(SPLIT($B$47,"" ""))"),0.00190114068441065)</f>
        <v>0.001901140684</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6"/>
      <c r="B140" s="76"/>
      <c r="C140" s="6" t="s">
        <v>20</v>
      </c>
      <c r="D140" s="49"/>
      <c r="E140" s="79" t="n">
        <f aca="false">IFERROR(__xludf.dummyfunction("COUNTA(SPLIT(D140,"" ""))/COUNTA(SPLIT($B$47,"" ""))"),0.00190114068441065)</f>
        <v>0.001901140684</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6"/>
      <c r="B142" s="55"/>
      <c r="C142" s="56" t="s">
        <v>18</v>
      </c>
      <c r="D142" s="63"/>
      <c r="E142" s="75" t="n">
        <f aca="false">IFERROR(__xludf.dummyfunction("COUNTA(SPLIT(D142,"" ""))/COUNTA(SPLIT($B$47,"" ""))"),0.00190114068441065)</f>
        <v>0.001901140684</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6"/>
      <c r="B143" s="76"/>
      <c r="C143" s="6" t="s">
        <v>19</v>
      </c>
      <c r="D143" s="49"/>
      <c r="E143" s="77" t="n">
        <f aca="false">IFERROR(__xludf.dummyfunction("COUNTA(SPLIT(D143,"" ""))/COUNTA(SPLIT($B$47,"" ""))"),0.00190114068441065)</f>
        <v>0.001901140684</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6"/>
      <c r="B144" s="76"/>
      <c r="C144" s="6" t="s">
        <v>8</v>
      </c>
      <c r="D144" s="49"/>
      <c r="E144" s="78" t="n">
        <f aca="false">IFERROR(__xludf.dummyfunction("COUNTA(SPLIT(D144,"" ""))/COUNTA(SPLIT($B$47,"" ""))"),0.00190114068441065)</f>
        <v>0.001901140684</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6"/>
      <c r="B145" s="76"/>
      <c r="C145" s="6" t="s">
        <v>20</v>
      </c>
      <c r="D145" s="49"/>
      <c r="E145" s="79" t="n">
        <f aca="false">IFERROR(__xludf.dummyfunction("COUNTA(SPLIT(D145,"" ""))/COUNTA(SPLIT($B$47,"" ""))"),0.00190114068441065)</f>
        <v>0.001901140684</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6"/>
      <c r="B147" s="55"/>
      <c r="C147" s="56" t="s">
        <v>18</v>
      </c>
      <c r="D147" s="63"/>
      <c r="E147" s="75" t="n">
        <f aca="false">IFERROR(__xludf.dummyfunction("COUNTA(SPLIT(D147,"" ""))/COUNTA(SPLIT($B$47,"" ""))"),0.00190114068441065)</f>
        <v>0.001901140684</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6"/>
      <c r="B148" s="76"/>
      <c r="C148" s="6" t="s">
        <v>19</v>
      </c>
      <c r="D148" s="49"/>
      <c r="E148" s="77" t="n">
        <f aca="false">IFERROR(__xludf.dummyfunction("COUNTA(SPLIT(D148,"" ""))/COUNTA(SPLIT($B$47,"" ""))"),0.00190114068441065)</f>
        <v>0.001901140684</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6"/>
      <c r="B149" s="76"/>
      <c r="C149" s="6" t="s">
        <v>8</v>
      </c>
      <c r="D149" s="49"/>
      <c r="E149" s="78" t="n">
        <f aca="false">IFERROR(__xludf.dummyfunction("COUNTA(SPLIT(D149,"" ""))/COUNTA(SPLIT($B$47,"" ""))"),0.00190114068441065)</f>
        <v>0.001901140684</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6"/>
      <c r="B150" s="76"/>
      <c r="C150" s="6" t="s">
        <v>20</v>
      </c>
      <c r="D150" s="49"/>
      <c r="E150" s="79" t="n">
        <f aca="false">IFERROR(__xludf.dummyfunction("COUNTA(SPLIT(D150,"" ""))/COUNTA(SPLIT($B$47,"" ""))"),0.00190114068441065)</f>
        <v>0.001901140684</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6"/>
      <c r="B152" s="55"/>
      <c r="C152" s="56" t="s">
        <v>18</v>
      </c>
      <c r="D152" s="63"/>
      <c r="E152" s="75" t="n">
        <f aca="false">IFERROR(__xludf.dummyfunction("COUNTA(SPLIT(D152,"" ""))/COUNTA(SPLIT($B$47,"" ""))"),0.00190114068441065)</f>
        <v>0.001901140684</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6"/>
      <c r="B153" s="76"/>
      <c r="C153" s="6" t="s">
        <v>19</v>
      </c>
      <c r="D153" s="49"/>
      <c r="E153" s="77" t="n">
        <f aca="false">IFERROR(__xludf.dummyfunction("COUNTA(SPLIT(D153,"" ""))/COUNTA(SPLIT($B$47,"" ""))"),0.00190114068441065)</f>
        <v>0.001901140684</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6"/>
      <c r="B154" s="76"/>
      <c r="C154" s="6" t="s">
        <v>8</v>
      </c>
      <c r="D154" s="49"/>
      <c r="E154" s="78" t="n">
        <f aca="false">IFERROR(__xludf.dummyfunction("COUNTA(SPLIT(D154,"" ""))/COUNTA(SPLIT($B$47,"" ""))"),0.00190114068441065)</f>
        <v>0.001901140684</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6"/>
      <c r="B155" s="76"/>
      <c r="C155" s="6" t="s">
        <v>20</v>
      </c>
      <c r="D155" s="49"/>
      <c r="E155" s="79" t="n">
        <f aca="false">IFERROR(__xludf.dummyfunction("COUNTA(SPLIT(D155,"" ""))/COUNTA(SPLIT($B$47,"" ""))"),0.00190114068441065)</f>
        <v>0.001901140684</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6"/>
      <c r="B157" s="55"/>
      <c r="C157" s="56" t="s">
        <v>18</v>
      </c>
      <c r="D157" s="63"/>
      <c r="E157" s="75" t="n">
        <f aca="false">IFERROR(__xludf.dummyfunction("COUNTA(SPLIT(D157,"" ""))/COUNTA(SPLIT($B$47,"" ""))"),0.00190114068441065)</f>
        <v>0.001901140684</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6"/>
      <c r="B158" s="76"/>
      <c r="C158" s="6" t="s">
        <v>19</v>
      </c>
      <c r="D158" s="49"/>
      <c r="E158" s="77" t="n">
        <f aca="false">IFERROR(__xludf.dummyfunction("COUNTA(SPLIT(D158,"" ""))/COUNTA(SPLIT($B$47,"" ""))"),0.00190114068441065)</f>
        <v>0.001901140684</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6"/>
      <c r="B159" s="76"/>
      <c r="C159" s="6" t="s">
        <v>8</v>
      </c>
      <c r="D159" s="49"/>
      <c r="E159" s="78" t="n">
        <f aca="false">IFERROR(__xludf.dummyfunction("COUNTA(SPLIT(D159,"" ""))/COUNTA(SPLIT($B$47,"" ""))"),0.00190114068441065)</f>
        <v>0.001901140684</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6"/>
      <c r="B160" s="76"/>
      <c r="C160" s="6" t="s">
        <v>20</v>
      </c>
      <c r="D160" s="49"/>
      <c r="E160" s="79" t="n">
        <f aca="false">IFERROR(__xludf.dummyfunction("COUNTA(SPLIT(D160,"" ""))/COUNTA(SPLIT($B$47,"" ""))"),0.00190114068441065)</f>
        <v>0.001901140684</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6"/>
      <c r="B162" s="55"/>
      <c r="C162" s="56" t="s">
        <v>18</v>
      </c>
      <c r="D162" s="63"/>
      <c r="E162" s="75" t="n">
        <f aca="false">IFERROR(__xludf.dummyfunction("COUNTA(SPLIT(D162,"" ""))/COUNTA(SPLIT($B$47,"" ""))"),0.00190114068441065)</f>
        <v>0.001901140684</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6"/>
      <c r="B163" s="76"/>
      <c r="C163" s="6" t="s">
        <v>19</v>
      </c>
      <c r="D163" s="49"/>
      <c r="E163" s="77" t="n">
        <f aca="false">IFERROR(__xludf.dummyfunction("COUNTA(SPLIT(D163,"" ""))/COUNTA(SPLIT($B$47,"" ""))"),0.00190114068441065)</f>
        <v>0.001901140684</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6"/>
      <c r="B164" s="76"/>
      <c r="C164" s="6" t="s">
        <v>8</v>
      </c>
      <c r="D164" s="49"/>
      <c r="E164" s="78" t="n">
        <f aca="false">IFERROR(__xludf.dummyfunction("COUNTA(SPLIT(D164,"" ""))/COUNTA(SPLIT($B$47,"" ""))"),0.00190114068441065)</f>
        <v>0.001901140684</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6"/>
      <c r="B165" s="76"/>
      <c r="C165" s="6" t="s">
        <v>20</v>
      </c>
      <c r="D165" s="49"/>
      <c r="E165" s="79" t="n">
        <f aca="false">IFERROR(__xludf.dummyfunction("COUNTA(SPLIT(D165,"" ""))/COUNTA(SPLIT($B$47,"" ""))"),0.00190114068441065)</f>
        <v>0.001901140684</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3"/>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7:E10 E12:E15 E17:E20 E22:E25 E27:E30 E32:E35 E37:E40 E42:E45 E47:E50 E52:E55 E57:E60 E62:E65 E67:E70 E72:E75 E77:E80 E82:E85 E87:E90 E92:E95 E97:E100 E102:E105 E107:E110 E112:E115 E117:E120 E122:E125 E127:E130 E132:E135 E137:E140 E142:E145 E147:E150 E152:E155 E157:E160 E162:E165">
    <cfRule type="colorScale" priority="2">
      <colorScale>
        <cfvo type="formula" val="0"/>
        <cfvo type="formula" val="0.5"/>
        <cfvo type="formula" val="1"/>
        <color rgb="FFFFFFFF"/>
        <color rgb="FFF3BEB9"/>
        <color rgb="FFE67C73"/>
      </colorScale>
    </cfRule>
  </conditionalFormatting>
  <conditionalFormatting sqref="E2:E1002">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kirola/hau-badakit-egunen-batean-aterako-da-barruan-dudan-jokoa_2123931_102.html"/>
    <hyperlink ref="A7" r:id="rId3" display="https://www.berria.eus/ekonomia/kutxabankek-2116-euro-bideratu-zituen-karbono-gutxiko-proiektuak-finantzatzera_2120192_102.html"/>
    <hyperlink ref="A12" r:id="rId4" display="https://www.berria.eus/bizigiro/tradizioa-eta-abangoardia_2126379_102.html"/>
    <hyperlink ref="A17" r:id="rId5" display="https://www.berria.eus/mundua/nbek-43-mila-milioi-euro-eskatu-ditu-datorren-urtean-laguntza-humanitarioa-bermatzeko_2117704_102.html"/>
    <hyperlink ref="A22" r:id="rId6" display="https://www.berria.eus/kultura/umeak-amari-eman-dio-bidea_2124508_102.html"/>
    <hyperlink ref="A27" r:id="rId7" display="https://www.berria.eus/euskal-herria/pintaketa-faxistak-egin-dituzte-irunean_2124262_102.html"/>
    <hyperlink ref="B27" r:id="rId8" display="Bart gauean pintaketa faxistak egin dituzte Iruñeko Alde Zaharrean; hain zuzen, San Frantzisko plazan eta inguruetan. Erorien Monumentuaren aldeko mezuak pintatu dituzte nagusiki. Azken asteetan hainbat protesta egin dira, monumentu hori eraitsi dezatela eskatzeko, eta faxistek Los caidos no se tocan (eroriak ez dira ukitzen) eta gisako mezuekin erantzun dute. Svastikak, Daviden izarrak eta beste ikur faxista batzuk ere marraztu dituzte.&#10;&#10;EH Bilduren egoitzaren kanpoaldean ere hainbat ikur faxista margotu dituzte, eta Asiron narizon (Asiron sudur handi) ipini dute svastiken eta Daviden izarren artean. EH Bilduk irmoki salatu ditu bere egoitzan azaldutako pintaketa horiek. «Faxistei ez diegu utziko gure bizitzak eta erabakiak baldintzatzen. Konpromiso osoa dugu bizikidetza eta memoria demokratikoarekin».&#10;&#10;Irmoki salatzen ditugu gure egoitzan azaldutako margoketak.&#10;&#10;— EHBildu Iruñea (@ehbilduirunea) April 25, 2024&#10;&#10;Faxistei ez diegu utziko gure bizitzak eta erabakiak baldintzatzen. Konpromiso osoa dugu bizikidetza eta memoria demokratikoarekin. pic.twitter.com/nOB6PpczHw"/>
    <hyperlink ref="A32" r:id="rId9" display="https://www.berria.eus/ekonomia/eolikoen-arlorako-laguntzetan-orain-halako-bi-jarriko-du-ebk-1400-milioi_1343992_102.html"/>
    <hyperlink ref="A37" r:id="rId10" display="https://www.berria.eus/kultura/itsasun-egingo-dute-irailekoak-poesia-jaialdia-aurten_2125293_102.html"/>
    <hyperlink ref="A42" r:id="rId11" display="https://www.berria.eus/kultura/nolabaiteko-kontrarreforma-bat-gertatzen-ari-da-eta-horren-aurrean-elkartu-beharra-daukagu_2124481_102.html"/>
    <hyperlink ref="A47" r:id="rId12" display="https://www.berria.eus/euskal-herria/ortuzarrek-dio-eajk-euskadiko-estatus-berriari-bultzada-eman-nahi-diola_2124257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1" sqref="A52:A101 A2"/>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110" t="s">
        <v>111</v>
      </c>
      <c r="E2" s="77" t="n">
        <f aca="false">IFERROR(__xludf.dummyfunction("COUNTA(SPLIT(D2,"" ""))/COUNTA(SPLIT($B$2,"" ""))"),0.559854897218863)</f>
        <v>0.5598548972</v>
      </c>
      <c r="F2" s="6" t="n">
        <v>5</v>
      </c>
      <c r="G2" s="6" t="n">
        <v>2</v>
      </c>
      <c r="H2" s="6" t="n">
        <v>1</v>
      </c>
      <c r="I2" s="6" t="n">
        <v>3</v>
      </c>
      <c r="J2" s="6" t="n">
        <v>2</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8"/>
      <c r="C3" s="6" t="s">
        <v>19</v>
      </c>
      <c r="D3" s="82" t="s">
        <v>112</v>
      </c>
      <c r="E3" s="81" t="n">
        <f aca="false">IFERROR(__xludf.dummyfunction("COUNTA(SPLIT(D3,"" ""))/COUNTA(SPLIT($B$2,"" ""))"),0.148730350665054)</f>
        <v>0.1487303507</v>
      </c>
      <c r="F3" s="6" t="n">
        <v>1</v>
      </c>
      <c r="G3" s="6" t="n">
        <v>4</v>
      </c>
      <c r="H3" s="6" t="n">
        <v>2</v>
      </c>
      <c r="I3" s="6" t="n">
        <v>2</v>
      </c>
      <c r="J3" s="6" t="n">
        <v>2</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8"/>
      <c r="C4" s="6" t="s">
        <v>8</v>
      </c>
      <c r="D4" s="82" t="s">
        <v>113</v>
      </c>
      <c r="E4" s="83" t="n">
        <f aca="false">IFERROR(__xludf.dummyfunction("COUNTA(SPLIT(D4,"" ""))/COUNTA(SPLIT($B$2,"" ""))"),0.0689238210399033)</f>
        <v>0.06892382104</v>
      </c>
      <c r="F4" s="6" t="n">
        <v>2</v>
      </c>
      <c r="G4" s="6" t="n">
        <v>5</v>
      </c>
      <c r="H4" s="6" t="n">
        <v>3</v>
      </c>
      <c r="I4" s="6" t="n">
        <v>4</v>
      </c>
      <c r="J4" s="6" t="n">
        <v>3</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8"/>
      <c r="C5" s="6" t="s">
        <v>20</v>
      </c>
      <c r="D5" s="82" t="s">
        <v>114</v>
      </c>
      <c r="E5" s="84" t="n">
        <f aca="false">IFERROR(__xludf.dummyfunction("COUNTA(SPLIT(D5,"" ""))/COUNTA(SPLIT($B$2,"" ""))"),0.0737605804111245)</f>
        <v>0.07376058041</v>
      </c>
      <c r="F5" s="6" t="n">
        <v>4</v>
      </c>
      <c r="G5" s="6" t="n">
        <v>4</v>
      </c>
      <c r="H5" s="6" t="n">
        <v>1</v>
      </c>
      <c r="I5" s="6" t="n">
        <v>3</v>
      </c>
      <c r="J5" s="6" t="n">
        <v>2</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90" t="s">
        <v>115</v>
      </c>
      <c r="E7" s="86" t="n">
        <f aca="false">IFERROR(__xludf.dummyfunction("COUNTA(SPLIT(D7,"" ""))/COUNTA(SPLIT($B$7,"" ""))"),1.05511811023622)</f>
        <v>1.05511811</v>
      </c>
      <c r="F7" s="56" t="n">
        <v>5</v>
      </c>
      <c r="G7" s="56" t="n">
        <v>5</v>
      </c>
      <c r="H7" s="56" t="n">
        <v>4</v>
      </c>
      <c r="I7" s="56" t="n">
        <v>2</v>
      </c>
      <c r="J7" s="56" t="n">
        <v>5</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82" t="s">
        <v>116</v>
      </c>
      <c r="E8" s="87" t="n">
        <f aca="false">IFERROR(__xludf.dummyfunction("COUNTA(SPLIT(D8,"" ""))/COUNTA(SPLIT($B$7,"" ""))"),0.889763779527559)</f>
        <v>0.8897637795</v>
      </c>
      <c r="F8" s="6" t="n">
        <v>5</v>
      </c>
      <c r="G8" s="6" t="n">
        <v>5</v>
      </c>
      <c r="H8" s="6" t="n">
        <v>3</v>
      </c>
      <c r="I8" s="6" t="n">
        <v>2</v>
      </c>
      <c r="J8" s="6" t="n">
        <v>5</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82" t="s">
        <v>117</v>
      </c>
      <c r="E9" s="88" t="n">
        <f aca="false">IFERROR(__xludf.dummyfunction("COUNTA(SPLIT(D9,"" ""))/COUNTA(SPLIT($B$7,"" ""))"),0.779527559055118)</f>
        <v>0.7795275591</v>
      </c>
      <c r="F9" s="6" t="n">
        <v>3</v>
      </c>
      <c r="G9" s="6" t="n">
        <v>5</v>
      </c>
      <c r="H9" s="6" t="n">
        <v>3</v>
      </c>
      <c r="I9" s="6" t="n">
        <v>3</v>
      </c>
      <c r="J9" s="6"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82" t="s">
        <v>118</v>
      </c>
      <c r="E10" s="70" t="n">
        <f aca="false">IFERROR(__xludf.dummyfunction("COUNTA(SPLIT(D10,"" ""))/COUNTA(SPLIT($B$7,"" ""))"),0.535433070866142)</f>
        <v>0.5354330709</v>
      </c>
      <c r="F10" s="6" t="n">
        <v>3</v>
      </c>
      <c r="G10" s="6" t="n">
        <v>5</v>
      </c>
      <c r="H10" s="6" t="n">
        <v>3</v>
      </c>
      <c r="I10" s="6" t="n">
        <v>4</v>
      </c>
      <c r="J10" s="6" t="n">
        <v>5</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60" t="s">
        <v>39</v>
      </c>
      <c r="B12" s="55" t="s">
        <v>40</v>
      </c>
      <c r="C12" s="56" t="s">
        <v>18</v>
      </c>
      <c r="D12" s="85" t="s">
        <v>119</v>
      </c>
      <c r="E12" s="91" t="n">
        <f aca="false">IFERROR(__xludf.dummyfunction("COUNTA(SPLIT(D12,"" ""))/COUNTA(SPLIT($B$12,"" ""))"),0.368421052631579)</f>
        <v>0.3684210526</v>
      </c>
      <c r="F12" s="56" t="n">
        <v>4</v>
      </c>
      <c r="G12" s="56" t="n">
        <v>4</v>
      </c>
      <c r="H12" s="56" t="n">
        <v>2</v>
      </c>
      <c r="I12" s="56" t="n">
        <v>3</v>
      </c>
      <c r="J12" s="56" t="n">
        <v>4</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60"/>
      <c r="B13" s="60"/>
      <c r="C13" s="6" t="s">
        <v>19</v>
      </c>
      <c r="D13" s="111" t="s">
        <v>120</v>
      </c>
      <c r="E13" s="91" t="n">
        <f aca="false">IFERROR(__xludf.dummyfunction("COUNTA(SPLIT(D13,"" ""))/COUNTA(SPLIT($B$12,"" ""))"),0.497368421052632)</f>
        <v>0.4973684211</v>
      </c>
      <c r="F13" s="6" t="n">
        <v>1</v>
      </c>
      <c r="G13" s="6" t="n">
        <v>5</v>
      </c>
      <c r="H13" s="6" t="n">
        <v>2</v>
      </c>
      <c r="I13" s="6" t="n">
        <v>1</v>
      </c>
      <c r="J13" s="6" t="n">
        <v>1</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62"/>
      <c r="B14" s="55"/>
      <c r="C14" s="6" t="s">
        <v>8</v>
      </c>
      <c r="D14" s="82" t="s">
        <v>121</v>
      </c>
      <c r="E14" s="92" t="n">
        <f aca="false">IFERROR(__xludf.dummyfunction("COUNTA(SPLIT(D14,"" ""))/COUNTA(SPLIT($B$12,"" ""))"),0.502631578947368)</f>
        <v>0.5026315789</v>
      </c>
      <c r="F14" s="6" t="n">
        <v>2</v>
      </c>
      <c r="G14" s="6" t="n">
        <v>3</v>
      </c>
      <c r="H14" s="6" t="n">
        <v>2</v>
      </c>
      <c r="I14" s="6" t="n">
        <v>2</v>
      </c>
      <c r="J14" s="6" t="n">
        <v>3</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62"/>
      <c r="B15" s="55"/>
      <c r="C15" s="6" t="s">
        <v>20</v>
      </c>
      <c r="D15" s="82" t="s">
        <v>122</v>
      </c>
      <c r="E15" s="93" t="n">
        <f aca="false">IFERROR(__xludf.dummyfunction("COUNTA(SPLIT(D15,"" ""))/COUNTA(SPLIT($B$12,"" ""))"),0.78421052631579)</f>
        <v>0.7842105263</v>
      </c>
      <c r="F15" s="6" t="n">
        <v>5</v>
      </c>
      <c r="G15" s="6" t="n">
        <v>3</v>
      </c>
      <c r="H15" s="6" t="n">
        <v>1</v>
      </c>
      <c r="I15" s="6" t="n">
        <v>2</v>
      </c>
      <c r="J15" s="6" t="n">
        <v>5</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60" t="s">
        <v>43</v>
      </c>
      <c r="B17" s="55" t="s">
        <v>44</v>
      </c>
      <c r="C17" s="56" t="s">
        <v>18</v>
      </c>
      <c r="D17" s="85" t="s">
        <v>123</v>
      </c>
      <c r="E17" s="94" t="n">
        <f aca="false">IFERROR(__xludf.dummyfunction("COUNTA(SPLIT(D17,"" ""))/COUNTA(SPLIT($B$17,"" ""))"),0.458041958041958)</f>
        <v>0.458041958</v>
      </c>
      <c r="F17" s="56" t="n">
        <v>4</v>
      </c>
      <c r="G17" s="56" t="n">
        <v>4</v>
      </c>
      <c r="H17" s="56" t="n">
        <v>2</v>
      </c>
      <c r="I17" s="56" t="n">
        <v>3</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60"/>
      <c r="B18" s="60"/>
      <c r="C18" s="6" t="s">
        <v>19</v>
      </c>
      <c r="D18" s="89" t="s">
        <v>124</v>
      </c>
      <c r="E18" s="95" t="n">
        <f aca="false">IFERROR(__xludf.dummyfunction("COUNTA(SPLIT(D18,"" ""))/COUNTA(SPLIT($B$17,"" ""))"),0.246503496503497)</f>
        <v>0.2465034965</v>
      </c>
      <c r="F18" s="6" t="n">
        <v>2</v>
      </c>
      <c r="G18" s="6" t="n">
        <v>4</v>
      </c>
      <c r="H18" s="6" t="n">
        <v>2</v>
      </c>
      <c r="I18" s="6" t="n">
        <v>3</v>
      </c>
      <c r="J18" s="6" t="n">
        <v>3</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60"/>
      <c r="B19" s="60"/>
      <c r="C19" s="6" t="s">
        <v>8</v>
      </c>
      <c r="D19" s="49" t="s">
        <v>125</v>
      </c>
      <c r="E19" s="91" t="n">
        <f aca="false">IFERROR(__xludf.dummyfunction("COUNTA(SPLIT(D19,"" ""))/COUNTA(SPLIT($B$17,"" ""))"),0.208041958041958)</f>
        <v>0.208041958</v>
      </c>
      <c r="F19" s="6" t="n">
        <v>3</v>
      </c>
      <c r="G19" s="6" t="n">
        <v>5</v>
      </c>
      <c r="H19" s="6" t="n">
        <v>3</v>
      </c>
      <c r="I19" s="6" t="n">
        <v>3</v>
      </c>
      <c r="J19" s="6"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60"/>
      <c r="B20" s="60"/>
      <c r="C20" s="6" t="s">
        <v>20</v>
      </c>
      <c r="D20" s="49" t="s">
        <v>126</v>
      </c>
      <c r="E20" s="96" t="n">
        <f aca="false">IFERROR(__xludf.dummyfunction("COUNTA(SPLIT(D20,"" ""))/COUNTA(SPLIT($B$17,"" ""))"),0.118881118881119)</f>
        <v>0.1188811189</v>
      </c>
      <c r="F20" s="6" t="n">
        <v>4</v>
      </c>
      <c r="G20" s="6" t="n">
        <v>4</v>
      </c>
      <c r="H20" s="6" t="n">
        <v>2</v>
      </c>
      <c r="I20" s="6" t="n">
        <v>5</v>
      </c>
      <c r="J20" s="6" t="n">
        <v>4</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60" t="s">
        <v>47</v>
      </c>
      <c r="B22" s="55" t="s">
        <v>48</v>
      </c>
      <c r="C22" s="56" t="s">
        <v>18</v>
      </c>
      <c r="D22" s="63" t="s">
        <v>127</v>
      </c>
      <c r="E22" s="97" t="n">
        <f aca="false">IFERROR(__xludf.dummyfunction("COUNTA(SPLIT(D22,"" ""))/COUNTA(SPLIT($B$22,"" ""))"),0.440860215053763)</f>
        <v>0.4408602151</v>
      </c>
      <c r="F22" s="56" t="n">
        <v>4</v>
      </c>
      <c r="G22" s="56" t="n">
        <v>2</v>
      </c>
      <c r="H22" s="56" t="n">
        <v>1</v>
      </c>
      <c r="I22" s="56" t="n">
        <v>3</v>
      </c>
      <c r="J22" s="56" t="n">
        <v>5</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60"/>
      <c r="B23" s="60"/>
      <c r="C23" s="6" t="s">
        <v>19</v>
      </c>
      <c r="D23" s="49" t="s">
        <v>128</v>
      </c>
      <c r="E23" s="98" t="n">
        <f aca="false">IFERROR(__xludf.dummyfunction("COUNTA(SPLIT(D23,"" ""))/COUNTA(SPLIT($B$22,"" ""))"),0.688172043010753)</f>
        <v>0.688172043</v>
      </c>
      <c r="F23" s="6" t="n">
        <v>2</v>
      </c>
      <c r="G23" s="6" t="n">
        <v>5</v>
      </c>
      <c r="H23" s="6" t="n">
        <v>2</v>
      </c>
      <c r="I23" s="6" t="n">
        <v>2</v>
      </c>
      <c r="J23" s="6" t="n">
        <v>3</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60"/>
      <c r="B24" s="60"/>
      <c r="C24" s="6" t="s">
        <v>8</v>
      </c>
      <c r="D24" s="49" t="s">
        <v>129</v>
      </c>
      <c r="E24" s="99" t="n">
        <f aca="false">IFERROR(__xludf.dummyfunction("COUNTA(SPLIT(D24,"" ""))/COUNTA(SPLIT($B$22,"" ""))"),0.388888888888889)</f>
        <v>0.3888888889</v>
      </c>
      <c r="F24" s="6" t="n">
        <v>3</v>
      </c>
      <c r="G24" s="6" t="n">
        <v>3</v>
      </c>
      <c r="H24" s="6" t="n">
        <v>3</v>
      </c>
      <c r="I24" s="6" t="n">
        <v>3</v>
      </c>
      <c r="J24" s="6" t="n">
        <v>5</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60"/>
      <c r="B25" s="60"/>
      <c r="C25" s="6" t="s">
        <v>20</v>
      </c>
      <c r="D25" s="111" t="s">
        <v>130</v>
      </c>
      <c r="E25" s="73" t="n">
        <f aca="false">IFERROR(__xludf.dummyfunction("COUNTA(SPLIT(D25,"" ""))/COUNTA(SPLIT($B$22,"" ""))"),0.295698924731183)</f>
        <v>0.2956989247</v>
      </c>
      <c r="F25" s="6" t="n">
        <v>3</v>
      </c>
      <c r="G25" s="6" t="n">
        <v>4</v>
      </c>
      <c r="H25" s="6" t="n">
        <v>2</v>
      </c>
      <c r="I25" s="6" t="n">
        <v>3</v>
      </c>
      <c r="J25" s="6" t="n">
        <v>4</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18</v>
      </c>
      <c r="D27" s="112" t="s">
        <v>131</v>
      </c>
      <c r="E27" s="102" t="n">
        <f aca="false">IFERROR(__xludf.dummyfunction("COUNTA(SPLIT(D27,"" ""))/COUNTA(SPLIT($B$27,"" ""))"),1.2043795620438)</f>
        <v>1.204379562</v>
      </c>
      <c r="F27" s="56" t="n">
        <v>3</v>
      </c>
      <c r="G27" s="56" t="n">
        <v>3</v>
      </c>
      <c r="H27" s="56" t="n">
        <v>2</v>
      </c>
      <c r="I27" s="56" t="n">
        <v>2</v>
      </c>
      <c r="J27" s="56" t="n">
        <v>3</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113" t="s">
        <v>132</v>
      </c>
      <c r="E28" s="103" t="n">
        <f aca="false">IFERROR(__xludf.dummyfunction("COUNTA(SPLIT(D28,"" ""))/COUNTA(SPLIT($B$27,"" ""))"),0.569343065693431)</f>
        <v>0.5693430657</v>
      </c>
      <c r="F28" s="6" t="n">
        <v>3</v>
      </c>
      <c r="G28" s="6" t="n">
        <v>5</v>
      </c>
      <c r="H28" s="6" t="n">
        <v>2</v>
      </c>
      <c r="I28" s="6" t="n">
        <v>4</v>
      </c>
      <c r="J28" s="6" t="n">
        <v>3</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133</v>
      </c>
      <c r="E29" s="96" t="n">
        <f aca="false">IFERROR(__xludf.dummyfunction("COUNTA(SPLIT(D29,"" ""))/COUNTA(SPLIT($B$27,"" ""))"),0.430656934306569)</f>
        <v>0.4306569343</v>
      </c>
      <c r="F29" s="6" t="n">
        <v>3</v>
      </c>
      <c r="G29" s="6" t="n">
        <v>4</v>
      </c>
      <c r="H29" s="6" t="n">
        <v>3</v>
      </c>
      <c r="I29" s="6" t="n">
        <v>5</v>
      </c>
      <c r="J29" s="6" t="n">
        <v>4</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134</v>
      </c>
      <c r="E30" s="104" t="n">
        <f aca="false">IFERROR(__xludf.dummyfunction("COUNTA(SPLIT(D30,"" ""))/COUNTA(SPLIT($B$27,"" ""))"),0.700729927007299)</f>
        <v>0.700729927</v>
      </c>
      <c r="F30" s="6" t="n">
        <v>4</v>
      </c>
      <c r="G30" s="6" t="n">
        <v>5</v>
      </c>
      <c r="H30" s="6" t="n">
        <v>1</v>
      </c>
      <c r="I30" s="6" t="n">
        <v>4</v>
      </c>
      <c r="J30" s="6" t="n">
        <v>4</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85" t="s">
        <v>135</v>
      </c>
      <c r="E32" s="72" t="n">
        <f aca="false">IFERROR(__xludf.dummyfunction("COUNTA(SPLIT(D32,"" ""))/COUNTA(SPLIT($B$32,"" ""))"),1.39869281045752)</f>
        <v>1.39869281</v>
      </c>
      <c r="F32" s="56" t="n">
        <v>4</v>
      </c>
      <c r="G32" s="56" t="n">
        <v>5</v>
      </c>
      <c r="H32" s="56" t="n">
        <v>1</v>
      </c>
      <c r="I32" s="56" t="n">
        <v>1</v>
      </c>
      <c r="J32" s="56" t="n">
        <v>5</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114" t="s">
        <v>136</v>
      </c>
      <c r="E33" s="105" t="n">
        <f aca="false">IFERROR(__xludf.dummyfunction("COUNTA(SPLIT(D33,"" ""))/COUNTA(SPLIT($B$32,"" ""))"),0.198257080610022)</f>
        <v>0.1982570806</v>
      </c>
      <c r="F33" s="6" t="n">
        <v>2</v>
      </c>
      <c r="G33" s="6" t="n">
        <v>5</v>
      </c>
      <c r="H33" s="6" t="n">
        <v>3</v>
      </c>
      <c r="I33" s="6" t="n">
        <v>3</v>
      </c>
      <c r="J33" s="6" t="n">
        <v>2</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69"/>
      <c r="C34" s="6" t="s">
        <v>8</v>
      </c>
      <c r="D34" s="49" t="s">
        <v>137</v>
      </c>
      <c r="E34" s="106" t="n">
        <f aca="false">IFERROR(__xludf.dummyfunction("COUNTA(SPLIT(D34,"" ""))/COUNTA(SPLIT($B$32,"" ""))"),0.389978213507625)</f>
        <v>0.3899782135</v>
      </c>
      <c r="F34" s="6" t="n">
        <v>3</v>
      </c>
      <c r="G34" s="6" t="n">
        <v>4</v>
      </c>
      <c r="H34" s="6" t="n">
        <v>3</v>
      </c>
      <c r="I34" s="6" t="n">
        <v>2</v>
      </c>
      <c r="J34" s="6" t="n">
        <v>3</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69"/>
      <c r="C35" s="6" t="s">
        <v>20</v>
      </c>
      <c r="D35" s="89" t="s">
        <v>138</v>
      </c>
      <c r="E35" s="67" t="n">
        <f aca="false">IFERROR(__xludf.dummyfunction("COUNTA(SPLIT(D35,"" ""))/COUNTA(SPLIT($B$32,"" ""))"),0.174291938997821)</f>
        <v>0.174291939</v>
      </c>
      <c r="F35" s="6" t="n">
        <v>4</v>
      </c>
      <c r="G35" s="6" t="n">
        <v>4</v>
      </c>
      <c r="H35" s="6" t="n">
        <v>1</v>
      </c>
      <c r="I35" s="6" t="n">
        <v>4</v>
      </c>
      <c r="J35" s="6" t="n">
        <v>3</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59</v>
      </c>
      <c r="B37" s="55" t="s">
        <v>60</v>
      </c>
      <c r="C37" s="56" t="s">
        <v>18</v>
      </c>
      <c r="D37" s="63" t="s">
        <v>139</v>
      </c>
      <c r="E37" s="81" t="n">
        <f aca="false">IFERROR(__xludf.dummyfunction("COUNTA(SPLIT(D37,"" ""))/COUNTA(SPLIT($B$37,"" ""))"),0.91304347826087)</f>
        <v>0.9130434783</v>
      </c>
      <c r="F37" s="56" t="n">
        <v>4</v>
      </c>
      <c r="G37" s="56" t="n">
        <v>3</v>
      </c>
      <c r="H37" s="56" t="n">
        <v>2</v>
      </c>
      <c r="I37" s="56" t="n">
        <v>3</v>
      </c>
      <c r="J37" s="56" t="n">
        <v>4</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6" t="s">
        <v>19</v>
      </c>
      <c r="D38" s="111" t="s">
        <v>140</v>
      </c>
      <c r="E38" s="107" t="n">
        <f aca="false">IFERROR(__xludf.dummyfunction("COUNTA(SPLIT(D38,"" ""))/COUNTA(SPLIT($B$37,"" ""))"),0.670807453416149)</f>
        <v>0.6708074534</v>
      </c>
      <c r="F38" s="6" t="n">
        <v>3</v>
      </c>
      <c r="G38" s="6" t="n">
        <v>5</v>
      </c>
      <c r="H38" s="6" t="n">
        <v>3</v>
      </c>
      <c r="I38" s="6" t="n">
        <v>3</v>
      </c>
      <c r="J38" s="6" t="n">
        <v>2</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6" t="s">
        <v>8</v>
      </c>
      <c r="D39" s="49" t="s">
        <v>141</v>
      </c>
      <c r="E39" s="93" t="n">
        <f aca="false">IFERROR(__xludf.dummyfunction("COUNTA(SPLIT(D39,"" ""))/COUNTA(SPLIT($B$37,"" ""))"),0.664596273291926)</f>
        <v>0.6645962733</v>
      </c>
      <c r="F39" s="6" t="n">
        <v>3</v>
      </c>
      <c r="G39" s="6" t="n">
        <v>3</v>
      </c>
      <c r="H39" s="6" t="n">
        <v>3</v>
      </c>
      <c r="I39" s="6" t="n">
        <v>4</v>
      </c>
      <c r="J39" s="6" t="n">
        <v>4</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6" t="s">
        <v>20</v>
      </c>
      <c r="D40" s="115" t="s">
        <v>142</v>
      </c>
      <c r="E40" s="84" t="n">
        <f aca="false">IFERROR(__xludf.dummyfunction("COUNTA(SPLIT(D40,"" ""))/COUNTA(SPLIT($B$37,"" ""))"),0.248447204968944)</f>
        <v>0.248447205</v>
      </c>
      <c r="F40" s="6" t="n">
        <v>4</v>
      </c>
      <c r="G40" s="6" t="n">
        <v>4</v>
      </c>
      <c r="H40" s="6" t="n">
        <v>2</v>
      </c>
      <c r="I40" s="6" t="n">
        <v>5</v>
      </c>
      <c r="J40" s="6" t="n">
        <v>3</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90" t="s">
        <v>143</v>
      </c>
      <c r="E42" s="81" t="n">
        <f aca="false">IFERROR(__xludf.dummyfunction("COUNTA(SPLIT(D42,"" ""))/COUNTA(SPLIT($B$42,"" ""))"),0.294117647058824)</f>
        <v>0.2941176471</v>
      </c>
      <c r="F42" s="56" t="n">
        <v>3</v>
      </c>
      <c r="G42" s="56" t="n">
        <v>5</v>
      </c>
      <c r="H42" s="56" t="n">
        <v>3</v>
      </c>
      <c r="I42" s="56" t="n">
        <v>2</v>
      </c>
      <c r="J42" s="56" t="n">
        <v>3</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49" t="s">
        <v>144</v>
      </c>
      <c r="E43" s="81" t="n">
        <f aca="false">IFERROR(__xludf.dummyfunction("COUNTA(SPLIT(D43,"" ""))/COUNTA(SPLIT($B$42,"" ""))"),0.359300476947536)</f>
        <v>0.3593004769</v>
      </c>
      <c r="F43" s="6" t="n">
        <v>2</v>
      </c>
      <c r="G43" s="6" t="n">
        <v>2</v>
      </c>
      <c r="H43" s="6" t="n">
        <v>2</v>
      </c>
      <c r="I43" s="6" t="n">
        <v>3</v>
      </c>
      <c r="J43" s="6" t="n">
        <v>4</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145</v>
      </c>
      <c r="E44" s="108" t="n">
        <f aca="false">IFERROR(__xludf.dummyfunction("COUNTA(SPLIT(D44,"" ""))/COUNTA(SPLIT($B$42,"" ""))"),0.230524642289348)</f>
        <v>0.2305246423</v>
      </c>
      <c r="F44" s="6" t="n">
        <v>3</v>
      </c>
      <c r="G44" s="6" t="n">
        <v>4</v>
      </c>
      <c r="H44" s="6" t="n">
        <v>2</v>
      </c>
      <c r="I44" s="6" t="n">
        <v>3</v>
      </c>
      <c r="J44" s="6" t="n">
        <v>4</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146</v>
      </c>
      <c r="E45" s="104" t="n">
        <f aca="false">IFERROR(__xludf.dummyfunction("COUNTA(SPLIT(D45,"" ""))/COUNTA(SPLIT($B$42,"" ""))"),0.4181240063593)</f>
        <v>0.4181240064</v>
      </c>
      <c r="F45" s="6" t="n">
        <v>2</v>
      </c>
      <c r="G45" s="6" t="n">
        <v>5</v>
      </c>
      <c r="H45" s="6" t="n">
        <v>3</v>
      </c>
      <c r="I45" s="6" t="n">
        <v>2</v>
      </c>
      <c r="J45" s="6" t="n">
        <v>2</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63" t="s">
        <v>147</v>
      </c>
      <c r="E47" s="109" t="n">
        <f aca="false">IFERROR(__xludf.dummyfunction("COUNTA(SPLIT(D47,"" ""))/COUNTA(SPLIT($B$47,"" ""))"),0.355513307984791)</f>
        <v>0.355513308</v>
      </c>
      <c r="F47" s="56" t="n">
        <v>2</v>
      </c>
      <c r="G47" s="56" t="n">
        <v>2</v>
      </c>
      <c r="H47" s="56" t="n">
        <v>2</v>
      </c>
      <c r="I47" s="56" t="n">
        <v>3</v>
      </c>
      <c r="J47" s="56" t="n">
        <v>3</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49" t="s">
        <v>148</v>
      </c>
      <c r="E48" s="77" t="n">
        <f aca="false">IFERROR(__xludf.dummyfunction("COUNTA(SPLIT(D48,"" ""))/COUNTA(SPLIT($B$47,"" ""))"),0.155893536121673)</f>
        <v>0.1558935361</v>
      </c>
      <c r="F48" s="6" t="n">
        <v>3</v>
      </c>
      <c r="G48" s="6" t="n">
        <v>4</v>
      </c>
      <c r="H48" s="6" t="n">
        <v>3</v>
      </c>
      <c r="I48" s="6" t="n">
        <v>3</v>
      </c>
      <c r="J48" s="6" t="n">
        <v>3</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149</v>
      </c>
      <c r="E49" s="78" t="n">
        <f aca="false">IFERROR(__xludf.dummyfunction("COUNTA(SPLIT(D49,"" ""))/COUNTA(SPLIT($B$47,"" ""))"),0.307984790874525)</f>
        <v>0.3079847909</v>
      </c>
      <c r="F49" s="6" t="n">
        <v>2</v>
      </c>
      <c r="G49" s="6" t="n">
        <v>3</v>
      </c>
      <c r="H49" s="6" t="n">
        <v>3</v>
      </c>
      <c r="I49" s="6" t="n">
        <v>3</v>
      </c>
      <c r="J49" s="6" t="n">
        <v>4</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150</v>
      </c>
      <c r="E50" s="79" t="n">
        <f aca="false">IFERROR(__xludf.dummyfunction("COUNTA(SPLIT(D50,"" ""))/COUNTA(SPLIT($B$47,"" ""))"),0.834600760456274)</f>
        <v>0.8346007605</v>
      </c>
      <c r="F50" s="6" t="n">
        <v>5</v>
      </c>
      <c r="G50" s="6" t="n">
        <v>5</v>
      </c>
      <c r="H50" s="6" t="n">
        <v>1</v>
      </c>
      <c r="I50" s="6" t="n">
        <v>2</v>
      </c>
      <c r="J50" s="6" t="n">
        <v>5</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6"/>
      <c r="B52" s="55"/>
      <c r="C52" s="56" t="s">
        <v>18</v>
      </c>
      <c r="D52" s="63"/>
      <c r="E52" s="75" t="n">
        <f aca="false">IFERROR(__xludf.dummyfunction("COUNTA(SPLIT(D52,"" ""))/COUNTA(SPLIT($B$47,"" ""))"),0.00190114068441065)</f>
        <v>0.001901140684</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6"/>
      <c r="B53" s="76"/>
      <c r="C53" s="6" t="s">
        <v>19</v>
      </c>
      <c r="D53" s="49"/>
      <c r="E53" s="77" t="n">
        <f aca="false">IFERROR(__xludf.dummyfunction("COUNTA(SPLIT(D53,"" ""))/COUNTA(SPLIT($B$47,"" ""))"),0.00190114068441065)</f>
        <v>0.001901140684</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6"/>
      <c r="B54" s="76"/>
      <c r="C54" s="6" t="s">
        <v>8</v>
      </c>
      <c r="D54" s="49"/>
      <c r="E54" s="78" t="n">
        <f aca="false">IFERROR(__xludf.dummyfunction("COUNTA(SPLIT(D54,"" ""))/COUNTA(SPLIT($B$47,"" ""))"),0.00190114068441065)</f>
        <v>0.001901140684</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6"/>
      <c r="B55" s="76"/>
      <c r="C55" s="6" t="s">
        <v>20</v>
      </c>
      <c r="D55" s="49"/>
      <c r="E55" s="79" t="n">
        <f aca="false">IFERROR(__xludf.dummyfunction("COUNTA(SPLIT(D55,"" ""))/COUNTA(SPLIT($B$47,"" ""))"),0.00190114068441065)</f>
        <v>0.001901140684</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6"/>
      <c r="B57" s="55"/>
      <c r="C57" s="56" t="s">
        <v>18</v>
      </c>
      <c r="D57" s="63"/>
      <c r="E57" s="75" t="n">
        <f aca="false">IFERROR(__xludf.dummyfunction("COUNTA(SPLIT(D57,"" ""))/COUNTA(SPLIT($B$47,"" ""))"),0.00190114068441065)</f>
        <v>0.001901140684</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6"/>
      <c r="B58" s="76"/>
      <c r="C58" s="6" t="s">
        <v>19</v>
      </c>
      <c r="D58" s="49"/>
      <c r="E58" s="77" t="n">
        <f aca="false">IFERROR(__xludf.dummyfunction("COUNTA(SPLIT(D58,"" ""))/COUNTA(SPLIT($B$47,"" ""))"),0.00190114068441065)</f>
        <v>0.001901140684</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6"/>
      <c r="B59" s="76"/>
      <c r="C59" s="6" t="s">
        <v>8</v>
      </c>
      <c r="D59" s="49"/>
      <c r="E59" s="78" t="n">
        <f aca="false">IFERROR(__xludf.dummyfunction("COUNTA(SPLIT(D59,"" ""))/COUNTA(SPLIT($B$47,"" ""))"),0.00190114068441065)</f>
        <v>0.001901140684</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6"/>
      <c r="B60" s="76"/>
      <c r="C60" s="6" t="s">
        <v>20</v>
      </c>
      <c r="D60" s="49"/>
      <c r="E60" s="79" t="n">
        <f aca="false">IFERROR(__xludf.dummyfunction("COUNTA(SPLIT(D60,"" ""))/COUNTA(SPLIT($B$47,"" ""))"),0.00190114068441065)</f>
        <v>0.001901140684</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6"/>
      <c r="B62" s="55"/>
      <c r="C62" s="56" t="s">
        <v>18</v>
      </c>
      <c r="D62" s="63"/>
      <c r="E62" s="75" t="n">
        <f aca="false">IFERROR(__xludf.dummyfunction("COUNTA(SPLIT(D62,"" ""))/COUNTA(SPLIT($B$47,"" ""))"),0.00190114068441065)</f>
        <v>0.001901140684</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6"/>
      <c r="B63" s="76"/>
      <c r="C63" s="6" t="s">
        <v>19</v>
      </c>
      <c r="D63" s="49"/>
      <c r="E63" s="77" t="n">
        <f aca="false">IFERROR(__xludf.dummyfunction("COUNTA(SPLIT(D63,"" ""))/COUNTA(SPLIT($B$47,"" ""))"),0.00190114068441065)</f>
        <v>0.001901140684</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6"/>
      <c r="B64" s="76"/>
      <c r="C64" s="6" t="s">
        <v>8</v>
      </c>
      <c r="D64" s="49"/>
      <c r="E64" s="78" t="n">
        <f aca="false">IFERROR(__xludf.dummyfunction("COUNTA(SPLIT(D64,"" ""))/COUNTA(SPLIT($B$47,"" ""))"),0.00190114068441065)</f>
        <v>0.001901140684</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6"/>
      <c r="B65" s="76"/>
      <c r="C65" s="6" t="s">
        <v>20</v>
      </c>
      <c r="D65" s="49"/>
      <c r="E65" s="79" t="n">
        <f aca="false">IFERROR(__xludf.dummyfunction("COUNTA(SPLIT(D65,"" ""))/COUNTA(SPLIT($B$47,"" ""))"),0.00190114068441065)</f>
        <v>0.001901140684</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6"/>
      <c r="B67" s="55"/>
      <c r="C67" s="56" t="s">
        <v>18</v>
      </c>
      <c r="D67" s="63"/>
      <c r="E67" s="75" t="n">
        <f aca="false">IFERROR(__xludf.dummyfunction("COUNTA(SPLIT(D67,"" ""))/COUNTA(SPLIT($B$47,"" ""))"),0.00190114068441065)</f>
        <v>0.001901140684</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6"/>
      <c r="B68" s="76"/>
      <c r="C68" s="6" t="s">
        <v>19</v>
      </c>
      <c r="D68" s="49"/>
      <c r="E68" s="77" t="n">
        <f aca="false">IFERROR(__xludf.dummyfunction("COUNTA(SPLIT(D68,"" ""))/COUNTA(SPLIT($B$47,"" ""))"),0.00190114068441065)</f>
        <v>0.001901140684</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6"/>
      <c r="B69" s="76"/>
      <c r="C69" s="6" t="s">
        <v>8</v>
      </c>
      <c r="D69" s="49"/>
      <c r="E69" s="78" t="n">
        <f aca="false">IFERROR(__xludf.dummyfunction("COUNTA(SPLIT(D69,"" ""))/COUNTA(SPLIT($B$47,"" ""))"),0.00190114068441065)</f>
        <v>0.001901140684</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6"/>
      <c r="B70" s="76"/>
      <c r="C70" s="6" t="s">
        <v>20</v>
      </c>
      <c r="D70" s="49"/>
      <c r="E70" s="79" t="n">
        <f aca="false">IFERROR(__xludf.dummyfunction("COUNTA(SPLIT(D70,"" ""))/COUNTA(SPLIT($B$47,"" ""))"),0.00190114068441065)</f>
        <v>0.001901140684</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6"/>
      <c r="B72" s="55"/>
      <c r="C72" s="56" t="s">
        <v>18</v>
      </c>
      <c r="D72" s="63"/>
      <c r="E72" s="75" t="n">
        <f aca="false">IFERROR(__xludf.dummyfunction("COUNTA(SPLIT(D72,"" ""))/COUNTA(SPLIT($B$47,"" ""))"),0.00190114068441065)</f>
        <v>0.001901140684</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6"/>
      <c r="B73" s="76"/>
      <c r="C73" s="6" t="s">
        <v>19</v>
      </c>
      <c r="D73" s="49"/>
      <c r="E73" s="77" t="n">
        <f aca="false">IFERROR(__xludf.dummyfunction("COUNTA(SPLIT(D73,"" ""))/COUNTA(SPLIT($B$47,"" ""))"),0.00190114068441065)</f>
        <v>0.001901140684</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6"/>
      <c r="B74" s="76"/>
      <c r="C74" s="6" t="s">
        <v>8</v>
      </c>
      <c r="D74" s="49"/>
      <c r="E74" s="78" t="n">
        <f aca="false">IFERROR(__xludf.dummyfunction("COUNTA(SPLIT(D74,"" ""))/COUNTA(SPLIT($B$47,"" ""))"),0.00190114068441065)</f>
        <v>0.001901140684</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6"/>
      <c r="B75" s="76"/>
      <c r="C75" s="6" t="s">
        <v>20</v>
      </c>
      <c r="D75" s="49"/>
      <c r="E75" s="79" t="n">
        <f aca="false">IFERROR(__xludf.dummyfunction("COUNTA(SPLIT(D75,"" ""))/COUNTA(SPLIT($B$47,"" ""))"),0.00190114068441065)</f>
        <v>0.001901140684</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6"/>
      <c r="B77" s="55"/>
      <c r="C77" s="56" t="s">
        <v>18</v>
      </c>
      <c r="D77" s="63"/>
      <c r="E77" s="75" t="n">
        <f aca="false">IFERROR(__xludf.dummyfunction("COUNTA(SPLIT(D77,"" ""))/COUNTA(SPLIT($B$47,"" ""))"),0.00190114068441065)</f>
        <v>0.001901140684</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6"/>
      <c r="B78" s="76"/>
      <c r="C78" s="6" t="s">
        <v>19</v>
      </c>
      <c r="D78" s="49"/>
      <c r="E78" s="77" t="n">
        <f aca="false">IFERROR(__xludf.dummyfunction("COUNTA(SPLIT(D78,"" ""))/COUNTA(SPLIT($B$47,"" ""))"),0.00190114068441065)</f>
        <v>0.001901140684</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6"/>
      <c r="B79" s="76"/>
      <c r="C79" s="6" t="s">
        <v>8</v>
      </c>
      <c r="D79" s="49"/>
      <c r="E79" s="78" t="n">
        <f aca="false">IFERROR(__xludf.dummyfunction("COUNTA(SPLIT(D79,"" ""))/COUNTA(SPLIT($B$47,"" ""))"),0.00190114068441065)</f>
        <v>0.001901140684</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6"/>
      <c r="B80" s="76"/>
      <c r="C80" s="6" t="s">
        <v>20</v>
      </c>
      <c r="D80" s="49"/>
      <c r="E80" s="79" t="n">
        <f aca="false">IFERROR(__xludf.dummyfunction("COUNTA(SPLIT(D80,"" ""))/COUNTA(SPLIT($B$47,"" ""))"),0.00190114068441065)</f>
        <v>0.001901140684</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6"/>
      <c r="B82" s="55"/>
      <c r="C82" s="56" t="s">
        <v>18</v>
      </c>
      <c r="D82" s="63"/>
      <c r="E82" s="75" t="n">
        <f aca="false">IFERROR(__xludf.dummyfunction("COUNTA(SPLIT(D82,"" ""))/COUNTA(SPLIT($B$47,"" ""))"),0.00190114068441065)</f>
        <v>0.001901140684</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6"/>
      <c r="B83" s="76"/>
      <c r="C83" s="6" t="s">
        <v>19</v>
      </c>
      <c r="D83" s="49"/>
      <c r="E83" s="77" t="n">
        <f aca="false">IFERROR(__xludf.dummyfunction("COUNTA(SPLIT(D83,"" ""))/COUNTA(SPLIT($B$47,"" ""))"),0.00190114068441065)</f>
        <v>0.001901140684</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6"/>
      <c r="B84" s="76"/>
      <c r="C84" s="6" t="s">
        <v>8</v>
      </c>
      <c r="D84" s="49"/>
      <c r="E84" s="78" t="n">
        <f aca="false">IFERROR(__xludf.dummyfunction("COUNTA(SPLIT(D84,"" ""))/COUNTA(SPLIT($B$47,"" ""))"),0.00190114068441065)</f>
        <v>0.001901140684</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6"/>
      <c r="B85" s="76"/>
      <c r="C85" s="6" t="s">
        <v>20</v>
      </c>
      <c r="D85" s="49"/>
      <c r="E85" s="79" t="n">
        <f aca="false">IFERROR(__xludf.dummyfunction("COUNTA(SPLIT(D85,"" ""))/COUNTA(SPLIT($B$47,"" ""))"),0.00190114068441065)</f>
        <v>0.001901140684</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6"/>
      <c r="B87" s="55"/>
      <c r="C87" s="56" t="s">
        <v>18</v>
      </c>
      <c r="D87" s="63"/>
      <c r="E87" s="75" t="n">
        <f aca="false">IFERROR(__xludf.dummyfunction("COUNTA(SPLIT(D87,"" ""))/COUNTA(SPLIT($B$47,"" ""))"),0.00190114068441065)</f>
        <v>0.001901140684</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6"/>
      <c r="B88" s="76"/>
      <c r="C88" s="6" t="s">
        <v>19</v>
      </c>
      <c r="D88" s="49"/>
      <c r="E88" s="77" t="n">
        <f aca="false">IFERROR(__xludf.dummyfunction("COUNTA(SPLIT(D88,"" ""))/COUNTA(SPLIT($B$47,"" ""))"),0.00190114068441065)</f>
        <v>0.001901140684</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6"/>
      <c r="B89" s="76"/>
      <c r="C89" s="6" t="s">
        <v>8</v>
      </c>
      <c r="D89" s="49"/>
      <c r="E89" s="78" t="n">
        <f aca="false">IFERROR(__xludf.dummyfunction("COUNTA(SPLIT(D89,"" ""))/COUNTA(SPLIT($B$47,"" ""))"),0.00190114068441065)</f>
        <v>0.001901140684</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6"/>
      <c r="B90" s="76"/>
      <c r="C90" s="6" t="s">
        <v>20</v>
      </c>
      <c r="D90" s="49"/>
      <c r="E90" s="79" t="n">
        <f aca="false">IFERROR(__xludf.dummyfunction("COUNTA(SPLIT(D90,"" ""))/COUNTA(SPLIT($B$47,"" ""))"),0.00190114068441065)</f>
        <v>0.001901140684</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6"/>
      <c r="B92" s="55"/>
      <c r="C92" s="56" t="s">
        <v>18</v>
      </c>
      <c r="D92" s="63"/>
      <c r="E92" s="75" t="n">
        <f aca="false">IFERROR(__xludf.dummyfunction("COUNTA(SPLIT(D92,"" ""))/COUNTA(SPLIT($B$47,"" ""))"),0.00190114068441065)</f>
        <v>0.001901140684</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6"/>
      <c r="B93" s="76"/>
      <c r="C93" s="6" t="s">
        <v>19</v>
      </c>
      <c r="D93" s="49"/>
      <c r="E93" s="77" t="n">
        <f aca="false">IFERROR(__xludf.dummyfunction("COUNTA(SPLIT(D93,"" ""))/COUNTA(SPLIT($B$47,"" ""))"),0.00190114068441065)</f>
        <v>0.001901140684</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6"/>
      <c r="B94" s="76"/>
      <c r="C94" s="6" t="s">
        <v>8</v>
      </c>
      <c r="D94" s="49"/>
      <c r="E94" s="78" t="n">
        <f aca="false">IFERROR(__xludf.dummyfunction("COUNTA(SPLIT(D94,"" ""))/COUNTA(SPLIT($B$47,"" ""))"),0.00190114068441065)</f>
        <v>0.001901140684</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6"/>
      <c r="B95" s="76"/>
      <c r="C95" s="6" t="s">
        <v>20</v>
      </c>
      <c r="D95" s="49"/>
      <c r="E95" s="79" t="n">
        <f aca="false">IFERROR(__xludf.dummyfunction("COUNTA(SPLIT(D95,"" ""))/COUNTA(SPLIT($B$47,"" ""))"),0.00190114068441065)</f>
        <v>0.001901140684</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6"/>
      <c r="B97" s="55"/>
      <c r="C97" s="56" t="s">
        <v>18</v>
      </c>
      <c r="D97" s="63"/>
      <c r="E97" s="75" t="n">
        <f aca="false">IFERROR(__xludf.dummyfunction("COUNTA(SPLIT(D97,"" ""))/COUNTA(SPLIT($B$47,"" ""))"),0.00190114068441065)</f>
        <v>0.001901140684</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6"/>
      <c r="B98" s="76"/>
      <c r="C98" s="6" t="s">
        <v>19</v>
      </c>
      <c r="D98" s="49"/>
      <c r="E98" s="77" t="n">
        <f aca="false">IFERROR(__xludf.dummyfunction("COUNTA(SPLIT(D98,"" ""))/COUNTA(SPLIT($B$47,"" ""))"),0.00190114068441065)</f>
        <v>0.001901140684</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6"/>
      <c r="B99" s="76"/>
      <c r="C99" s="6" t="s">
        <v>8</v>
      </c>
      <c r="D99" s="49"/>
      <c r="E99" s="78" t="n">
        <f aca="false">IFERROR(__xludf.dummyfunction("COUNTA(SPLIT(D99,"" ""))/COUNTA(SPLIT($B$47,"" ""))"),0.00190114068441065)</f>
        <v>0.001901140684</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6"/>
      <c r="B100" s="76"/>
      <c r="C100" s="6" t="s">
        <v>20</v>
      </c>
      <c r="D100" s="49"/>
      <c r="E100" s="79" t="n">
        <f aca="false">IFERROR(__xludf.dummyfunction("COUNTA(SPLIT(D100,"" ""))/COUNTA(SPLIT($B$47,"" ""))"),0.00190114068441065)</f>
        <v>0.001901140684</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6"/>
      <c r="B102" s="55"/>
      <c r="C102" s="56" t="s">
        <v>18</v>
      </c>
      <c r="D102" s="63"/>
      <c r="E102" s="75" t="n">
        <f aca="false">IFERROR(__xludf.dummyfunction("COUNTA(SPLIT(D102,"" ""))/COUNTA(SPLIT($B$47,"" ""))"),0.00190114068441065)</f>
        <v>0.001901140684</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6"/>
      <c r="B103" s="76"/>
      <c r="C103" s="6" t="s">
        <v>19</v>
      </c>
      <c r="D103" s="49"/>
      <c r="E103" s="77" t="n">
        <f aca="false">IFERROR(__xludf.dummyfunction("COUNTA(SPLIT(D103,"" ""))/COUNTA(SPLIT($B$47,"" ""))"),0.00190114068441065)</f>
        <v>0.001901140684</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6"/>
      <c r="B104" s="76"/>
      <c r="C104" s="6" t="s">
        <v>8</v>
      </c>
      <c r="D104" s="49"/>
      <c r="E104" s="78" t="n">
        <f aca="false">IFERROR(__xludf.dummyfunction("COUNTA(SPLIT(D104,"" ""))/COUNTA(SPLIT($B$47,"" ""))"),0.00190114068441065)</f>
        <v>0.001901140684</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6"/>
      <c r="B105" s="76"/>
      <c r="C105" s="6" t="s">
        <v>20</v>
      </c>
      <c r="D105" s="49"/>
      <c r="E105" s="79" t="n">
        <f aca="false">IFERROR(__xludf.dummyfunction("COUNTA(SPLIT(D105,"" ""))/COUNTA(SPLIT($B$47,"" ""))"),0.00190114068441065)</f>
        <v>0.001901140684</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6"/>
      <c r="B107" s="55"/>
      <c r="C107" s="56" t="s">
        <v>18</v>
      </c>
      <c r="D107" s="63"/>
      <c r="E107" s="75" t="n">
        <f aca="false">IFERROR(__xludf.dummyfunction("COUNTA(SPLIT(D107,"" ""))/COUNTA(SPLIT($B$47,"" ""))"),0.00190114068441065)</f>
        <v>0.001901140684</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6"/>
      <c r="B108" s="76"/>
      <c r="C108" s="6" t="s">
        <v>19</v>
      </c>
      <c r="D108" s="49"/>
      <c r="E108" s="77" t="n">
        <f aca="false">IFERROR(__xludf.dummyfunction("COUNTA(SPLIT(D108,"" ""))/COUNTA(SPLIT($B$47,"" ""))"),0.00190114068441065)</f>
        <v>0.001901140684</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6"/>
      <c r="B109" s="76"/>
      <c r="C109" s="6" t="s">
        <v>8</v>
      </c>
      <c r="D109" s="49"/>
      <c r="E109" s="78" t="n">
        <f aca="false">IFERROR(__xludf.dummyfunction("COUNTA(SPLIT(D109,"" ""))/COUNTA(SPLIT($B$47,"" ""))"),0.00190114068441065)</f>
        <v>0.001901140684</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6"/>
      <c r="B110" s="76"/>
      <c r="C110" s="6" t="s">
        <v>20</v>
      </c>
      <c r="D110" s="49"/>
      <c r="E110" s="79" t="n">
        <f aca="false">IFERROR(__xludf.dummyfunction("COUNTA(SPLIT(D110,"" ""))/COUNTA(SPLIT($B$47,"" ""))"),0.00190114068441065)</f>
        <v>0.001901140684</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6"/>
      <c r="B112" s="55"/>
      <c r="C112" s="56" t="s">
        <v>18</v>
      </c>
      <c r="D112" s="63"/>
      <c r="E112" s="75" t="n">
        <f aca="false">IFERROR(__xludf.dummyfunction("COUNTA(SPLIT(D112,"" ""))/COUNTA(SPLIT($B$47,"" ""))"),0.00190114068441065)</f>
        <v>0.001901140684</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6"/>
      <c r="B113" s="76"/>
      <c r="C113" s="6" t="s">
        <v>19</v>
      </c>
      <c r="D113" s="49"/>
      <c r="E113" s="77" t="n">
        <f aca="false">IFERROR(__xludf.dummyfunction("COUNTA(SPLIT(D113,"" ""))/COUNTA(SPLIT($B$47,"" ""))"),0.00190114068441065)</f>
        <v>0.001901140684</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6"/>
      <c r="B114" s="76"/>
      <c r="C114" s="6" t="s">
        <v>8</v>
      </c>
      <c r="D114" s="49"/>
      <c r="E114" s="78" t="n">
        <f aca="false">IFERROR(__xludf.dummyfunction("COUNTA(SPLIT(D114,"" ""))/COUNTA(SPLIT($B$47,"" ""))"),0.00190114068441065)</f>
        <v>0.001901140684</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6"/>
      <c r="B115" s="76"/>
      <c r="C115" s="6" t="s">
        <v>20</v>
      </c>
      <c r="D115" s="49"/>
      <c r="E115" s="79" t="n">
        <f aca="false">IFERROR(__xludf.dummyfunction("COUNTA(SPLIT(D115,"" ""))/COUNTA(SPLIT($B$47,"" ""))"),0.00190114068441065)</f>
        <v>0.001901140684</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6"/>
      <c r="B117" s="55"/>
      <c r="C117" s="56" t="s">
        <v>18</v>
      </c>
      <c r="D117" s="63"/>
      <c r="E117" s="75" t="n">
        <f aca="false">IFERROR(__xludf.dummyfunction("COUNTA(SPLIT(D117,"" ""))/COUNTA(SPLIT($B$47,"" ""))"),0.00190114068441065)</f>
        <v>0.001901140684</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6"/>
      <c r="B118" s="76"/>
      <c r="C118" s="6" t="s">
        <v>19</v>
      </c>
      <c r="D118" s="49"/>
      <c r="E118" s="77" t="n">
        <f aca="false">IFERROR(__xludf.dummyfunction("COUNTA(SPLIT(D118,"" ""))/COUNTA(SPLIT($B$47,"" ""))"),0.00190114068441065)</f>
        <v>0.001901140684</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6"/>
      <c r="B119" s="76"/>
      <c r="C119" s="6" t="s">
        <v>8</v>
      </c>
      <c r="D119" s="49"/>
      <c r="E119" s="78" t="n">
        <f aca="false">IFERROR(__xludf.dummyfunction("COUNTA(SPLIT(D119,"" ""))/COUNTA(SPLIT($B$47,"" ""))"),0.00190114068441065)</f>
        <v>0.001901140684</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6"/>
      <c r="B120" s="76"/>
      <c r="C120" s="6" t="s">
        <v>20</v>
      </c>
      <c r="D120" s="49"/>
      <c r="E120" s="79" t="n">
        <f aca="false">IFERROR(__xludf.dummyfunction("COUNTA(SPLIT(D120,"" ""))/COUNTA(SPLIT($B$47,"" ""))"),0.00190114068441065)</f>
        <v>0.001901140684</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6"/>
      <c r="B122" s="55"/>
      <c r="C122" s="56" t="s">
        <v>18</v>
      </c>
      <c r="D122" s="63"/>
      <c r="E122" s="75" t="n">
        <f aca="false">IFERROR(__xludf.dummyfunction("COUNTA(SPLIT(D122,"" ""))/COUNTA(SPLIT($B$47,"" ""))"),0.00190114068441065)</f>
        <v>0.001901140684</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6"/>
      <c r="B123" s="76"/>
      <c r="C123" s="6" t="s">
        <v>19</v>
      </c>
      <c r="D123" s="49"/>
      <c r="E123" s="77" t="n">
        <f aca="false">IFERROR(__xludf.dummyfunction("COUNTA(SPLIT(D123,"" ""))/COUNTA(SPLIT($B$47,"" ""))"),0.00190114068441065)</f>
        <v>0.001901140684</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6"/>
      <c r="B124" s="76"/>
      <c r="C124" s="6" t="s">
        <v>8</v>
      </c>
      <c r="D124" s="49"/>
      <c r="E124" s="78" t="n">
        <f aca="false">IFERROR(__xludf.dummyfunction("COUNTA(SPLIT(D124,"" ""))/COUNTA(SPLIT($B$47,"" ""))"),0.00190114068441065)</f>
        <v>0.001901140684</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6"/>
      <c r="B125" s="76"/>
      <c r="C125" s="6" t="s">
        <v>20</v>
      </c>
      <c r="D125" s="49"/>
      <c r="E125" s="79" t="n">
        <f aca="false">IFERROR(__xludf.dummyfunction("COUNTA(SPLIT(D125,"" ""))/COUNTA(SPLIT($B$47,"" ""))"),0.00190114068441065)</f>
        <v>0.001901140684</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6"/>
      <c r="B127" s="55"/>
      <c r="C127" s="56" t="s">
        <v>18</v>
      </c>
      <c r="D127" s="63"/>
      <c r="E127" s="75" t="n">
        <f aca="false">IFERROR(__xludf.dummyfunction("COUNTA(SPLIT(D127,"" ""))/COUNTA(SPLIT($B$47,"" ""))"),0.00190114068441065)</f>
        <v>0.001901140684</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6"/>
      <c r="B128" s="76"/>
      <c r="C128" s="6" t="s">
        <v>19</v>
      </c>
      <c r="D128" s="49"/>
      <c r="E128" s="77" t="n">
        <f aca="false">IFERROR(__xludf.dummyfunction("COUNTA(SPLIT(D128,"" ""))/COUNTA(SPLIT($B$47,"" ""))"),0.00190114068441065)</f>
        <v>0.001901140684</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6"/>
      <c r="B129" s="76"/>
      <c r="C129" s="6" t="s">
        <v>8</v>
      </c>
      <c r="D129" s="49"/>
      <c r="E129" s="78" t="n">
        <f aca="false">IFERROR(__xludf.dummyfunction("COUNTA(SPLIT(D129,"" ""))/COUNTA(SPLIT($B$47,"" ""))"),0.00190114068441065)</f>
        <v>0.001901140684</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6"/>
      <c r="B130" s="76"/>
      <c r="C130" s="6" t="s">
        <v>20</v>
      </c>
      <c r="D130" s="49"/>
      <c r="E130" s="79" t="n">
        <f aca="false">IFERROR(__xludf.dummyfunction("COUNTA(SPLIT(D130,"" ""))/COUNTA(SPLIT($B$47,"" ""))"),0.00190114068441065)</f>
        <v>0.001901140684</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6"/>
      <c r="B132" s="55"/>
      <c r="C132" s="56" t="s">
        <v>18</v>
      </c>
      <c r="D132" s="63"/>
      <c r="E132" s="75" t="n">
        <f aca="false">IFERROR(__xludf.dummyfunction("COUNTA(SPLIT(D132,"" ""))/COUNTA(SPLIT($B$47,"" ""))"),0.00190114068441065)</f>
        <v>0.001901140684</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6"/>
      <c r="B133" s="76"/>
      <c r="C133" s="6" t="s">
        <v>19</v>
      </c>
      <c r="D133" s="49"/>
      <c r="E133" s="77" t="n">
        <f aca="false">IFERROR(__xludf.dummyfunction("COUNTA(SPLIT(D133,"" ""))/COUNTA(SPLIT($B$47,"" ""))"),0.00190114068441065)</f>
        <v>0.001901140684</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6"/>
      <c r="B134" s="76"/>
      <c r="C134" s="6" t="s">
        <v>8</v>
      </c>
      <c r="D134" s="49"/>
      <c r="E134" s="78" t="n">
        <f aca="false">IFERROR(__xludf.dummyfunction("COUNTA(SPLIT(D134,"" ""))/COUNTA(SPLIT($B$47,"" ""))"),0.00190114068441065)</f>
        <v>0.001901140684</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6"/>
      <c r="B135" s="76"/>
      <c r="C135" s="6" t="s">
        <v>20</v>
      </c>
      <c r="D135" s="49"/>
      <c r="E135" s="79" t="n">
        <f aca="false">IFERROR(__xludf.dummyfunction("COUNTA(SPLIT(D135,"" ""))/COUNTA(SPLIT($B$47,"" ""))"),0.00190114068441065)</f>
        <v>0.001901140684</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6"/>
      <c r="B137" s="55"/>
      <c r="C137" s="56" t="s">
        <v>18</v>
      </c>
      <c r="D137" s="63"/>
      <c r="E137" s="75" t="n">
        <f aca="false">IFERROR(__xludf.dummyfunction("COUNTA(SPLIT(D137,"" ""))/COUNTA(SPLIT($B$47,"" ""))"),0.00190114068441065)</f>
        <v>0.001901140684</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6"/>
      <c r="B138" s="76"/>
      <c r="C138" s="6" t="s">
        <v>19</v>
      </c>
      <c r="D138" s="49"/>
      <c r="E138" s="77" t="n">
        <f aca="false">IFERROR(__xludf.dummyfunction("COUNTA(SPLIT(D138,"" ""))/COUNTA(SPLIT($B$47,"" ""))"),0.00190114068441065)</f>
        <v>0.001901140684</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6"/>
      <c r="B139" s="76"/>
      <c r="C139" s="6" t="s">
        <v>8</v>
      </c>
      <c r="D139" s="49"/>
      <c r="E139" s="78" t="n">
        <f aca="false">IFERROR(__xludf.dummyfunction("COUNTA(SPLIT(D139,"" ""))/COUNTA(SPLIT($B$47,"" ""))"),0.00190114068441065)</f>
        <v>0.001901140684</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6"/>
      <c r="B140" s="76"/>
      <c r="C140" s="6" t="s">
        <v>20</v>
      </c>
      <c r="D140" s="49"/>
      <c r="E140" s="79" t="n">
        <f aca="false">IFERROR(__xludf.dummyfunction("COUNTA(SPLIT(D140,"" ""))/COUNTA(SPLIT($B$47,"" ""))"),0.00190114068441065)</f>
        <v>0.001901140684</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6"/>
      <c r="B142" s="55"/>
      <c r="C142" s="56" t="s">
        <v>18</v>
      </c>
      <c r="D142" s="63"/>
      <c r="E142" s="75" t="n">
        <f aca="false">IFERROR(__xludf.dummyfunction("COUNTA(SPLIT(D142,"" ""))/COUNTA(SPLIT($B$47,"" ""))"),0.00190114068441065)</f>
        <v>0.001901140684</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6"/>
      <c r="B143" s="76"/>
      <c r="C143" s="6" t="s">
        <v>19</v>
      </c>
      <c r="D143" s="49"/>
      <c r="E143" s="77" t="n">
        <f aca="false">IFERROR(__xludf.dummyfunction("COUNTA(SPLIT(D143,"" ""))/COUNTA(SPLIT($B$47,"" ""))"),0.00190114068441065)</f>
        <v>0.001901140684</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6"/>
      <c r="B144" s="76"/>
      <c r="C144" s="6" t="s">
        <v>8</v>
      </c>
      <c r="D144" s="49"/>
      <c r="E144" s="78" t="n">
        <f aca="false">IFERROR(__xludf.dummyfunction("COUNTA(SPLIT(D144,"" ""))/COUNTA(SPLIT($B$47,"" ""))"),0.00190114068441065)</f>
        <v>0.001901140684</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6"/>
      <c r="B145" s="76"/>
      <c r="C145" s="6" t="s">
        <v>20</v>
      </c>
      <c r="D145" s="49"/>
      <c r="E145" s="79" t="n">
        <f aca="false">IFERROR(__xludf.dummyfunction("COUNTA(SPLIT(D145,"" ""))/COUNTA(SPLIT($B$47,"" ""))"),0.00190114068441065)</f>
        <v>0.001901140684</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6"/>
      <c r="B147" s="55"/>
      <c r="C147" s="56" t="s">
        <v>18</v>
      </c>
      <c r="D147" s="63"/>
      <c r="E147" s="75" t="n">
        <f aca="false">IFERROR(__xludf.dummyfunction("COUNTA(SPLIT(D147,"" ""))/COUNTA(SPLIT($B$47,"" ""))"),0.00190114068441065)</f>
        <v>0.001901140684</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6"/>
      <c r="B148" s="76"/>
      <c r="C148" s="6" t="s">
        <v>19</v>
      </c>
      <c r="D148" s="49"/>
      <c r="E148" s="77" t="n">
        <f aca="false">IFERROR(__xludf.dummyfunction("COUNTA(SPLIT(D148,"" ""))/COUNTA(SPLIT($B$47,"" ""))"),0.00190114068441065)</f>
        <v>0.001901140684</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6"/>
      <c r="B149" s="76"/>
      <c r="C149" s="6" t="s">
        <v>8</v>
      </c>
      <c r="D149" s="49"/>
      <c r="E149" s="78" t="n">
        <f aca="false">IFERROR(__xludf.dummyfunction("COUNTA(SPLIT(D149,"" ""))/COUNTA(SPLIT($B$47,"" ""))"),0.00190114068441065)</f>
        <v>0.001901140684</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6"/>
      <c r="B150" s="76"/>
      <c r="C150" s="6" t="s">
        <v>20</v>
      </c>
      <c r="D150" s="49"/>
      <c r="E150" s="79" t="n">
        <f aca="false">IFERROR(__xludf.dummyfunction("COUNTA(SPLIT(D150,"" ""))/COUNTA(SPLIT($B$47,"" ""))"),0.00190114068441065)</f>
        <v>0.001901140684</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6"/>
      <c r="B152" s="55"/>
      <c r="C152" s="56" t="s">
        <v>18</v>
      </c>
      <c r="D152" s="63"/>
      <c r="E152" s="75" t="n">
        <f aca="false">IFERROR(__xludf.dummyfunction("COUNTA(SPLIT(D152,"" ""))/COUNTA(SPLIT($B$47,"" ""))"),0.00190114068441065)</f>
        <v>0.001901140684</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6"/>
      <c r="B153" s="76"/>
      <c r="C153" s="6" t="s">
        <v>19</v>
      </c>
      <c r="D153" s="49"/>
      <c r="E153" s="77" t="n">
        <f aca="false">IFERROR(__xludf.dummyfunction("COUNTA(SPLIT(D153,"" ""))/COUNTA(SPLIT($B$47,"" ""))"),0.00190114068441065)</f>
        <v>0.001901140684</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6"/>
      <c r="B154" s="76"/>
      <c r="C154" s="6" t="s">
        <v>8</v>
      </c>
      <c r="D154" s="49"/>
      <c r="E154" s="78" t="n">
        <f aca="false">IFERROR(__xludf.dummyfunction("COUNTA(SPLIT(D154,"" ""))/COUNTA(SPLIT($B$47,"" ""))"),0.00190114068441065)</f>
        <v>0.001901140684</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6"/>
      <c r="B155" s="76"/>
      <c r="C155" s="6" t="s">
        <v>20</v>
      </c>
      <c r="D155" s="49"/>
      <c r="E155" s="79" t="n">
        <f aca="false">IFERROR(__xludf.dummyfunction("COUNTA(SPLIT(D155,"" ""))/COUNTA(SPLIT($B$47,"" ""))"),0.00190114068441065)</f>
        <v>0.001901140684</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6"/>
      <c r="B157" s="55"/>
      <c r="C157" s="56" t="s">
        <v>18</v>
      </c>
      <c r="D157" s="63"/>
      <c r="E157" s="75" t="n">
        <f aca="false">IFERROR(__xludf.dummyfunction("COUNTA(SPLIT(D157,"" ""))/COUNTA(SPLIT($B$47,"" ""))"),0.00190114068441065)</f>
        <v>0.001901140684</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6"/>
      <c r="B158" s="76"/>
      <c r="C158" s="6" t="s">
        <v>19</v>
      </c>
      <c r="D158" s="49"/>
      <c r="E158" s="77" t="n">
        <f aca="false">IFERROR(__xludf.dummyfunction("COUNTA(SPLIT(D158,"" ""))/COUNTA(SPLIT($B$47,"" ""))"),0.00190114068441065)</f>
        <v>0.001901140684</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6"/>
      <c r="B159" s="76"/>
      <c r="C159" s="6" t="s">
        <v>8</v>
      </c>
      <c r="D159" s="49"/>
      <c r="E159" s="78" t="n">
        <f aca="false">IFERROR(__xludf.dummyfunction("COUNTA(SPLIT(D159,"" ""))/COUNTA(SPLIT($B$47,"" ""))"),0.00190114068441065)</f>
        <v>0.001901140684</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6"/>
      <c r="B160" s="76"/>
      <c r="C160" s="6" t="s">
        <v>20</v>
      </c>
      <c r="D160" s="49"/>
      <c r="E160" s="79" t="n">
        <f aca="false">IFERROR(__xludf.dummyfunction("COUNTA(SPLIT(D160,"" ""))/COUNTA(SPLIT($B$47,"" ""))"),0.00190114068441065)</f>
        <v>0.001901140684</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6"/>
      <c r="B162" s="55"/>
      <c r="C162" s="56" t="s">
        <v>18</v>
      </c>
      <c r="D162" s="63"/>
      <c r="E162" s="75" t="n">
        <f aca="false">IFERROR(__xludf.dummyfunction("COUNTA(SPLIT(D162,"" ""))/COUNTA(SPLIT($B$47,"" ""))"),0.00190114068441065)</f>
        <v>0.001901140684</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6"/>
      <c r="B163" s="76"/>
      <c r="C163" s="6" t="s">
        <v>19</v>
      </c>
      <c r="D163" s="49"/>
      <c r="E163" s="77" t="n">
        <f aca="false">IFERROR(__xludf.dummyfunction("COUNTA(SPLIT(D163,"" ""))/COUNTA(SPLIT($B$47,"" ""))"),0.00190114068441065)</f>
        <v>0.001901140684</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6"/>
      <c r="B164" s="76"/>
      <c r="C164" s="6" t="s">
        <v>8</v>
      </c>
      <c r="D164" s="49"/>
      <c r="E164" s="78" t="n">
        <f aca="false">IFERROR(__xludf.dummyfunction("COUNTA(SPLIT(D164,"" ""))/COUNTA(SPLIT($B$47,"" ""))"),0.00190114068441065)</f>
        <v>0.001901140684</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6"/>
      <c r="B165" s="76"/>
      <c r="C165" s="6" t="s">
        <v>20</v>
      </c>
      <c r="D165" s="49"/>
      <c r="E165" s="79" t="n">
        <f aca="false">IFERROR(__xludf.dummyfunction("COUNTA(SPLIT(D165,"" ""))/COUNTA(SPLIT($B$47,"" ""))"),0.00190114068441065)</f>
        <v>0.001901140684</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3"/>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kirola/hau-badakit-egunen-batean-aterako-da-barruan-dudan-jokoa_2123931_102.html"/>
    <hyperlink ref="A7" r:id="rId3" display="https://www.berria.eus/ekonomia/kutxabankek-2116-euro-bideratu-zituen-karbono-gutxiko-proiektuak-finantzatzera_2120192_102.html"/>
    <hyperlink ref="A12" r:id="rId4" display="https://www.berria.eus/bizigiro/tradizioa-eta-abangoardia_2126379_102.html"/>
    <hyperlink ref="A17" r:id="rId5" display="https://www.berria.eus/mundua/nbek-43-mila-milioi-euro-eskatu-ditu-datorren-urtean-laguntza-humanitarioa-bermatzeko_2117704_102.html"/>
    <hyperlink ref="A22" r:id="rId6" display="https://www.berria.eus/kultura/umeak-amari-eman-dio-bidea_2124508_102.html"/>
    <hyperlink ref="A27" r:id="rId7" display="https://www.berria.eus/euskal-herria/pintaketa-faxistak-egin-dituzte-irunean_2124262_102.html"/>
    <hyperlink ref="A32" r:id="rId8" display="https://www.berria.eus/ekonomia/eolikoen-arlorako-laguntzetan-orain-halako-bi-jarriko-du-ebk-1400-milioi_1343992_102.html"/>
    <hyperlink ref="A37" r:id="rId9" display="https://www.berria.eus/kultura/itsasun-egingo-dute-irailekoak-poesia-jaialdia-aurten_2125293_102.html"/>
    <hyperlink ref="A42" r:id="rId10" display="https://www.berria.eus/kultura/nolabaiteko-kontrarreforma-bat-gertatzen-ari-da-eta-horren-aurrean-elkartu-beharra-daukagu_2124481_102.html"/>
    <hyperlink ref="A47" r:id="rId11" display="https://www.berria.eus/euskal-herria/ortuzarrek-dio-eajk-euskadiko-estatus-berriari-bultzada-eman-nahi-diola_2124257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1" sqref="A52:A101 D1"/>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89" t="s">
        <v>151</v>
      </c>
      <c r="E2" s="77" t="n">
        <f aca="false">IFERROR(__xludf.dummyfunction("COUNTA(SPLIT(D2,"" ""))/COUNTA(SPLIT($B$2,"" ""))"),0.181378476420798)</f>
        <v>0.1813784764</v>
      </c>
      <c r="F2" s="6" t="n">
        <v>5</v>
      </c>
      <c r="G2" s="6" t="n">
        <v>5</v>
      </c>
      <c r="H2" s="6" t="n">
        <v>5</v>
      </c>
      <c r="I2" s="6" t="n">
        <v>4</v>
      </c>
      <c r="J2" s="6" t="n">
        <v>5</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19</v>
      </c>
      <c r="D3" s="80" t="s">
        <v>152</v>
      </c>
      <c r="E3" s="81" t="n">
        <f aca="false">IFERROR(__xludf.dummyfunction("COUNTA(SPLIT(D3,"" ""))/COUNTA(SPLIT($B$2,"" ""))"),0.119709794437727)</f>
        <v>0.1197097944</v>
      </c>
      <c r="F3" s="6" t="n">
        <v>5</v>
      </c>
      <c r="G3" s="6" t="n">
        <v>4</v>
      </c>
      <c r="H3" s="6" t="n">
        <v>5</v>
      </c>
      <c r="I3" s="6" t="n">
        <v>4</v>
      </c>
      <c r="J3" s="6" t="n">
        <v>4</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t="s">
        <v>8</v>
      </c>
      <c r="D4" s="82" t="s">
        <v>153</v>
      </c>
      <c r="E4" s="83" t="n">
        <f aca="false">IFERROR(__xludf.dummyfunction("COUNTA(SPLIT(D4,"" ""))/COUNTA(SPLIT($B$2,"" ""))"),0.262394195888755)</f>
        <v>0.2623941959</v>
      </c>
      <c r="F4" s="6" t="n">
        <v>3</v>
      </c>
      <c r="G4" s="6" t="n">
        <v>4</v>
      </c>
      <c r="H4" s="6" t="n">
        <v>5</v>
      </c>
      <c r="I4" s="6" t="n">
        <v>4</v>
      </c>
      <c r="J4" s="6" t="n">
        <v>5</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t="s">
        <v>20</v>
      </c>
      <c r="D5" s="82" t="s">
        <v>154</v>
      </c>
      <c r="E5" s="84" t="n">
        <f aca="false">IFERROR(__xludf.dummyfunction("COUNTA(SPLIT(D5,"" ""))/COUNTA(SPLIT($B$2,"" ""))"),0.126964933494559)</f>
        <v>0.1269649335</v>
      </c>
      <c r="F5" s="6" t="n">
        <v>5</v>
      </c>
      <c r="G5" s="6" t="n">
        <v>4</v>
      </c>
      <c r="H5" s="6" t="n">
        <v>5</v>
      </c>
      <c r="I5" s="6" t="n">
        <v>5</v>
      </c>
      <c r="J5" s="6" t="n">
        <v>5</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57" t="s">
        <v>155</v>
      </c>
      <c r="E7" s="86" t="n">
        <f aca="false">IFERROR(__xludf.dummyfunction("COUNTA(SPLIT(D7,"" ""))/COUNTA(SPLIT($B$7,"" ""))"),1.30708661417323)</f>
        <v>1.307086614</v>
      </c>
      <c r="F7" s="56" t="n">
        <v>5</v>
      </c>
      <c r="G7" s="56" t="n">
        <v>5</v>
      </c>
      <c r="H7" s="56" t="n">
        <v>5</v>
      </c>
      <c r="I7" s="56" t="n">
        <v>1</v>
      </c>
      <c r="J7" s="56" t="n">
        <v>5</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82" t="s">
        <v>156</v>
      </c>
      <c r="E8" s="87" t="n">
        <f aca="false">IFERROR(__xludf.dummyfunction("COUNTA(SPLIT(D8,"" ""))/COUNTA(SPLIT($B$7,"" ""))"),0.511811023622047)</f>
        <v>0.5118110236</v>
      </c>
      <c r="F8" s="6" t="n">
        <v>5</v>
      </c>
      <c r="G8" s="6" t="n">
        <v>4</v>
      </c>
      <c r="H8" s="6" t="n">
        <v>5</v>
      </c>
      <c r="I8" s="6" t="n">
        <v>4</v>
      </c>
      <c r="J8" s="6" t="n">
        <v>5</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82" t="s">
        <v>157</v>
      </c>
      <c r="E9" s="88" t="n">
        <f aca="false">IFERROR(__xludf.dummyfunction("COUNTA(SPLIT(D9,"" ""))/COUNTA(SPLIT($B$7,"" ""))"),0.913385826771654)</f>
        <v>0.9133858268</v>
      </c>
      <c r="F9" s="6" t="n">
        <v>3</v>
      </c>
      <c r="G9" s="6" t="n">
        <v>5</v>
      </c>
      <c r="H9" s="6" t="n">
        <v>5</v>
      </c>
      <c r="I9" s="6" t="n">
        <v>3</v>
      </c>
      <c r="J9" s="6"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82" t="s">
        <v>158</v>
      </c>
      <c r="E10" s="70" t="n">
        <f aca="false">IFERROR(__xludf.dummyfunction("COUNTA(SPLIT(D10,"" ""))/COUNTA(SPLIT($B$7,"" ""))"),0.488188976377953)</f>
        <v>0.4881889764</v>
      </c>
      <c r="F10" s="6" t="n">
        <v>5</v>
      </c>
      <c r="G10" s="6" t="n">
        <v>5</v>
      </c>
      <c r="H10" s="6" t="n">
        <v>5</v>
      </c>
      <c r="I10" s="6" t="n">
        <v>4</v>
      </c>
      <c r="J10" s="6" t="n">
        <v>5</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60" t="s">
        <v>39</v>
      </c>
      <c r="B12" s="55" t="s">
        <v>40</v>
      </c>
      <c r="C12" s="56" t="s">
        <v>18</v>
      </c>
      <c r="D12" s="57" t="s">
        <v>159</v>
      </c>
      <c r="E12" s="91" t="n">
        <f aca="false">IFERROR(__xludf.dummyfunction("COUNTA(SPLIT(D12,"" ""))/COUNTA(SPLIT($B$12,"" ""))"),0.971052631578947)</f>
        <v>0.9710526316</v>
      </c>
      <c r="F12" s="56" t="n">
        <v>5</v>
      </c>
      <c r="G12" s="56" t="n">
        <v>5</v>
      </c>
      <c r="H12" s="56" t="n">
        <v>5</v>
      </c>
      <c r="I12" s="56" t="n">
        <v>1</v>
      </c>
      <c r="J12" s="56" t="n">
        <v>5</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60"/>
      <c r="B13" s="60"/>
      <c r="C13" s="6" t="s">
        <v>19</v>
      </c>
      <c r="D13" s="89" t="s">
        <v>160</v>
      </c>
      <c r="E13" s="91" t="n">
        <f aca="false">IFERROR(__xludf.dummyfunction("COUNTA(SPLIT(D13,"" ""))/COUNTA(SPLIT($B$12,"" ""))"),0.194736842105263)</f>
        <v>0.1947368421</v>
      </c>
      <c r="F13" s="6" t="n">
        <v>5</v>
      </c>
      <c r="G13" s="6" t="n">
        <v>5</v>
      </c>
      <c r="H13" s="6" t="n">
        <v>5</v>
      </c>
      <c r="I13" s="6" t="n">
        <v>4</v>
      </c>
      <c r="J13" s="6" t="n">
        <v>5</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62"/>
      <c r="B14" s="55"/>
      <c r="C14" s="6" t="s">
        <v>8</v>
      </c>
      <c r="D14" s="89" t="s">
        <v>161</v>
      </c>
      <c r="E14" s="92" t="n">
        <f aca="false">IFERROR(__xludf.dummyfunction("COUNTA(SPLIT(D14,"" ""))/COUNTA(SPLIT($B$12,"" ""))"),0.471052631578947)</f>
        <v>0.4710526316</v>
      </c>
      <c r="F14" s="6" t="n">
        <v>3</v>
      </c>
      <c r="G14" s="6" t="n">
        <v>5</v>
      </c>
      <c r="H14" s="6" t="n">
        <v>5</v>
      </c>
      <c r="I14" s="6" t="n">
        <v>3</v>
      </c>
      <c r="J14" s="6" t="n">
        <v>5</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62"/>
      <c r="B15" s="55"/>
      <c r="C15" s="6" t="s">
        <v>20</v>
      </c>
      <c r="D15" s="82" t="s">
        <v>162</v>
      </c>
      <c r="E15" s="93" t="n">
        <f aca="false">IFERROR(__xludf.dummyfunction("COUNTA(SPLIT(D15,"" ""))/COUNTA(SPLIT($B$12,"" ""))"),0.207894736842105)</f>
        <v>0.2078947368</v>
      </c>
      <c r="F15" s="6" t="n">
        <v>4</v>
      </c>
      <c r="G15" s="6" t="n">
        <v>5</v>
      </c>
      <c r="H15" s="6" t="n">
        <v>4</v>
      </c>
      <c r="I15" s="6" t="n">
        <v>4</v>
      </c>
      <c r="J15" s="6" t="n">
        <v>5</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60" t="s">
        <v>43</v>
      </c>
      <c r="B17" s="55" t="s">
        <v>44</v>
      </c>
      <c r="C17" s="56" t="s">
        <v>18</v>
      </c>
      <c r="D17" s="85" t="s">
        <v>163</v>
      </c>
      <c r="E17" s="94" t="n">
        <f aca="false">IFERROR(__xludf.dummyfunction("COUNTA(SPLIT(D17,"" ""))/COUNTA(SPLIT($B$17,"" ""))"),0.316433566433566)</f>
        <v>0.3164335664</v>
      </c>
      <c r="F17" s="56" t="n">
        <v>5</v>
      </c>
      <c r="G17" s="56" t="n">
        <v>5</v>
      </c>
      <c r="H17" s="56" t="n">
        <v>5</v>
      </c>
      <c r="I17" s="56" t="n">
        <v>3</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60"/>
      <c r="B18" s="60"/>
      <c r="C18" s="6" t="s">
        <v>19</v>
      </c>
      <c r="D18" s="89" t="s">
        <v>164</v>
      </c>
      <c r="E18" s="95" t="n">
        <f aca="false">IFERROR(__xludf.dummyfunction("COUNTA(SPLIT(D18,"" ""))/COUNTA(SPLIT($B$17,"" ""))"),0.178321678321678)</f>
        <v>0.1783216783</v>
      </c>
      <c r="F18" s="6" t="n">
        <v>5</v>
      </c>
      <c r="G18" s="6" t="n">
        <v>4</v>
      </c>
      <c r="H18" s="6" t="n">
        <v>5</v>
      </c>
      <c r="I18" s="6" t="n">
        <v>4</v>
      </c>
      <c r="J18" s="6" t="n">
        <v>5</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60"/>
      <c r="B19" s="60"/>
      <c r="C19" s="6" t="s">
        <v>8</v>
      </c>
      <c r="D19" s="49" t="s">
        <v>165</v>
      </c>
      <c r="E19" s="91" t="n">
        <f aca="false">IFERROR(__xludf.dummyfunction("COUNTA(SPLIT(D19,"" ""))/COUNTA(SPLIT($B$17,"" ""))"),0.323426573426573)</f>
        <v>0.3234265734</v>
      </c>
      <c r="F19" s="6" t="n">
        <v>3</v>
      </c>
      <c r="G19" s="6" t="n">
        <v>5</v>
      </c>
      <c r="H19" s="6" t="n">
        <v>4</v>
      </c>
      <c r="I19" s="6" t="n">
        <v>4</v>
      </c>
      <c r="J19" s="6"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60"/>
      <c r="B20" s="60"/>
      <c r="C20" s="6" t="s">
        <v>20</v>
      </c>
      <c r="D20" s="49" t="s">
        <v>166</v>
      </c>
      <c r="E20" s="96" t="n">
        <f aca="false">IFERROR(__xludf.dummyfunction("COUNTA(SPLIT(D20,"" ""))/COUNTA(SPLIT($B$17,"" ""))"),0.185314685314685)</f>
        <v>0.1853146853</v>
      </c>
      <c r="F20" s="6" t="n">
        <v>5</v>
      </c>
      <c r="G20" s="6" t="n">
        <v>5</v>
      </c>
      <c r="H20" s="6" t="n">
        <v>3</v>
      </c>
      <c r="I20" s="6" t="n">
        <v>5</v>
      </c>
      <c r="J20" s="6" t="n">
        <v>5</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60" t="s">
        <v>47</v>
      </c>
      <c r="B22" s="55" t="s">
        <v>48</v>
      </c>
      <c r="C22" s="56" t="s">
        <v>18</v>
      </c>
      <c r="D22" s="85" t="s">
        <v>167</v>
      </c>
      <c r="E22" s="97" t="n">
        <f aca="false">IFERROR(__xludf.dummyfunction("COUNTA(SPLIT(D22,"" ""))/COUNTA(SPLIT($B$22,"" ""))"),0.313620071684588)</f>
        <v>0.3136200717</v>
      </c>
      <c r="F22" s="56" t="n">
        <v>5</v>
      </c>
      <c r="G22" s="56" t="n">
        <v>3</v>
      </c>
      <c r="H22" s="56" t="n">
        <v>5</v>
      </c>
      <c r="I22" s="56" t="n">
        <v>3</v>
      </c>
      <c r="J22" s="56" t="n">
        <v>5</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60"/>
      <c r="B23" s="60"/>
      <c r="C23" s="6" t="s">
        <v>19</v>
      </c>
      <c r="D23" s="80" t="s">
        <v>168</v>
      </c>
      <c r="E23" s="98" t="n">
        <f aca="false">IFERROR(__xludf.dummyfunction("COUNTA(SPLIT(D23,"" ""))/COUNTA(SPLIT($B$22,"" ""))"),0.166666666666667)</f>
        <v>0.1666666667</v>
      </c>
      <c r="F23" s="6" t="n">
        <v>4</v>
      </c>
      <c r="G23" s="6" t="n">
        <v>3</v>
      </c>
      <c r="H23" s="6" t="n">
        <v>5</v>
      </c>
      <c r="I23" s="6" t="n">
        <v>4</v>
      </c>
      <c r="J23" s="6" t="n">
        <v>5</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60"/>
      <c r="B24" s="60"/>
      <c r="C24" s="6" t="s">
        <v>8</v>
      </c>
      <c r="D24" s="80" t="s">
        <v>169</v>
      </c>
      <c r="E24" s="99" t="n">
        <f aca="false">IFERROR(__xludf.dummyfunction("COUNTA(SPLIT(D24,"" ""))/COUNTA(SPLIT($B$22,"" ""))"),0.32258064516129)</f>
        <v>0.3225806452</v>
      </c>
      <c r="F24" s="6" t="n">
        <v>3</v>
      </c>
      <c r="G24" s="6" t="n">
        <v>5</v>
      </c>
      <c r="H24" s="6" t="n">
        <v>5</v>
      </c>
      <c r="I24" s="6" t="n">
        <v>4</v>
      </c>
      <c r="J24" s="6" t="n">
        <v>5</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60"/>
      <c r="B25" s="60"/>
      <c r="C25" s="6" t="s">
        <v>20</v>
      </c>
      <c r="D25" s="49" t="s">
        <v>170</v>
      </c>
      <c r="E25" s="73" t="n">
        <f aca="false">IFERROR(__xludf.dummyfunction("COUNTA(SPLIT(D25,"" ""))/COUNTA(SPLIT($B$22,"" ""))"),0.216845878136201)</f>
        <v>0.2168458781</v>
      </c>
      <c r="F25" s="6" t="n">
        <v>4</v>
      </c>
      <c r="G25" s="6" t="n">
        <v>2</v>
      </c>
      <c r="H25" s="6" t="n">
        <v>5</v>
      </c>
      <c r="I25" s="6" t="n">
        <v>5</v>
      </c>
      <c r="J25" s="6" t="n">
        <v>5</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18</v>
      </c>
      <c r="D27" s="63" t="s">
        <v>171</v>
      </c>
      <c r="E27" s="102" t="n">
        <f aca="false">IFERROR(__xludf.dummyfunction("COUNTA(SPLIT(D27,"" ""))/COUNTA(SPLIT($B$27,"" ""))"),1.06569343065693)</f>
        <v>1.065693431</v>
      </c>
      <c r="F27" s="56" t="n">
        <v>4</v>
      </c>
      <c r="G27" s="56" t="n">
        <v>5</v>
      </c>
      <c r="H27" s="56" t="n">
        <v>5</v>
      </c>
      <c r="I27" s="56" t="n">
        <v>2</v>
      </c>
      <c r="J27" s="56"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49" t="s">
        <v>172</v>
      </c>
      <c r="E28" s="103" t="n">
        <f aca="false">IFERROR(__xludf.dummyfunction("COUNTA(SPLIT(D28,"" ""))/COUNTA(SPLIT($B$27,"" ""))"),0.335766423357664)</f>
        <v>0.3357664234</v>
      </c>
      <c r="F28" s="6" t="n">
        <v>4</v>
      </c>
      <c r="G28" s="6" t="n">
        <v>5</v>
      </c>
      <c r="H28" s="6" t="n">
        <v>5</v>
      </c>
      <c r="I28" s="6" t="n">
        <v>4</v>
      </c>
      <c r="J28" s="6" t="n">
        <v>5</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173</v>
      </c>
      <c r="E29" s="96" t="n">
        <f aca="false">IFERROR(__xludf.dummyfunction("COUNTA(SPLIT(D29,"" ""))/COUNTA(SPLIT($B$27,"" ""))"),1.35766423357664)</f>
        <v>1.357664234</v>
      </c>
      <c r="F29" s="6" t="n">
        <v>2</v>
      </c>
      <c r="G29" s="6" t="n">
        <v>5</v>
      </c>
      <c r="H29" s="6" t="n">
        <v>5</v>
      </c>
      <c r="I29" s="6" t="n">
        <v>3</v>
      </c>
      <c r="J29" s="6" t="n">
        <v>5</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174</v>
      </c>
      <c r="E30" s="104" t="n">
        <f aca="false">IFERROR(__xludf.dummyfunction("COUNTA(SPLIT(D30,"" ""))/COUNTA(SPLIT($B$27,"" ""))"),0.394160583941606)</f>
        <v>0.3941605839</v>
      </c>
      <c r="F30" s="6" t="n">
        <v>3</v>
      </c>
      <c r="G30" s="6" t="n">
        <v>5</v>
      </c>
      <c r="H30" s="6" t="n">
        <v>5</v>
      </c>
      <c r="I30" s="6" t="n">
        <v>5</v>
      </c>
      <c r="J30" s="6" t="n">
        <v>4</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63" t="s">
        <v>175</v>
      </c>
      <c r="E32" s="72" t="n">
        <f aca="false">IFERROR(__xludf.dummyfunction("COUNTA(SPLIT(D32,"" ""))/COUNTA(SPLIT($B$32,"" ""))"),0.437908496732026)</f>
        <v>0.4379084967</v>
      </c>
      <c r="F32" s="56" t="n">
        <v>4</v>
      </c>
      <c r="G32" s="56" t="n">
        <v>5</v>
      </c>
      <c r="H32" s="56" t="n">
        <v>4</v>
      </c>
      <c r="I32" s="56" t="n">
        <v>3</v>
      </c>
      <c r="J32" s="56" t="n">
        <v>4</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89" t="s">
        <v>176</v>
      </c>
      <c r="E33" s="105" t="n">
        <f aca="false">IFERROR(__xludf.dummyfunction("COUNTA(SPLIT(D33,"" ""))/COUNTA(SPLIT($B$32,"" ""))"),0.16557734204793)</f>
        <v>0.165577342</v>
      </c>
      <c r="F33" s="6" t="n">
        <v>4</v>
      </c>
      <c r="G33" s="6" t="n">
        <v>5</v>
      </c>
      <c r="H33" s="6" t="n">
        <v>4</v>
      </c>
      <c r="I33" s="6" t="n">
        <v>4</v>
      </c>
      <c r="J33" s="6" t="n">
        <v>3</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69"/>
      <c r="C34" s="6" t="s">
        <v>8</v>
      </c>
      <c r="D34" s="49" t="s">
        <v>177</v>
      </c>
      <c r="E34" s="106" t="n">
        <f aca="false">IFERROR(__xludf.dummyfunction("COUNTA(SPLIT(D34,"" ""))/COUNTA(SPLIT($B$32,"" ""))"),0.359477124183007)</f>
        <v>0.3594771242</v>
      </c>
      <c r="F34" s="6" t="n">
        <v>3</v>
      </c>
      <c r="G34" s="6" t="n">
        <v>4</v>
      </c>
      <c r="H34" s="6" t="n">
        <v>4</v>
      </c>
      <c r="I34" s="6" t="n">
        <v>3</v>
      </c>
      <c r="J34" s="6" t="n">
        <v>4</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69"/>
      <c r="C35" s="6" t="s">
        <v>20</v>
      </c>
      <c r="D35" s="49" t="s">
        <v>178</v>
      </c>
      <c r="E35" s="67" t="n">
        <f aca="false">IFERROR(__xludf.dummyfunction("COUNTA(SPLIT(D35,"" ""))/COUNTA(SPLIT($B$32,"" ""))"),0.154684095860566)</f>
        <v>0.1546840959</v>
      </c>
      <c r="F35" s="6" t="n">
        <v>4</v>
      </c>
      <c r="G35" s="6" t="n">
        <v>5</v>
      </c>
      <c r="H35" s="6" t="n">
        <v>5</v>
      </c>
      <c r="I35" s="6" t="n">
        <v>4</v>
      </c>
      <c r="J35" s="6" t="n">
        <v>4</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59</v>
      </c>
      <c r="B37" s="55" t="s">
        <v>60</v>
      </c>
      <c r="C37" s="56" t="s">
        <v>18</v>
      </c>
      <c r="D37" s="85" t="s">
        <v>179</v>
      </c>
      <c r="E37" s="81" t="n">
        <f aca="false">IFERROR(__xludf.dummyfunction("COUNTA(SPLIT(D37,"" ""))/COUNTA(SPLIT($B$37,"" ""))"),0.447204968944099)</f>
        <v>0.4472049689</v>
      </c>
      <c r="F37" s="56" t="n">
        <v>4</v>
      </c>
      <c r="G37" s="56" t="n">
        <v>5</v>
      </c>
      <c r="H37" s="56" t="n">
        <v>5</v>
      </c>
      <c r="I37" s="56" t="n">
        <v>4</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6" t="s">
        <v>19</v>
      </c>
      <c r="D38" s="49" t="s">
        <v>180</v>
      </c>
      <c r="E38" s="107" t="n">
        <f aca="false">IFERROR(__xludf.dummyfunction("COUNTA(SPLIT(D38,"" ""))/COUNTA(SPLIT($B$37,"" ""))"),0.478260869565217)</f>
        <v>0.4782608696</v>
      </c>
      <c r="F38" s="6" t="n">
        <v>4</v>
      </c>
      <c r="G38" s="6" t="n">
        <v>5</v>
      </c>
      <c r="H38" s="6" t="n">
        <v>5</v>
      </c>
      <c r="I38" s="6" t="n">
        <v>4</v>
      </c>
      <c r="J38" s="6" t="n">
        <v>5</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6" t="s">
        <v>8</v>
      </c>
      <c r="D39" s="89" t="s">
        <v>181</v>
      </c>
      <c r="E39" s="93" t="n">
        <f aca="false">IFERROR(__xludf.dummyfunction("COUNTA(SPLIT(D39,"" ""))/COUNTA(SPLIT($B$37,"" ""))"),0.850931677018634)</f>
        <v>0.850931677</v>
      </c>
      <c r="F39" s="6" t="n">
        <v>3</v>
      </c>
      <c r="G39" s="6" t="n">
        <v>4</v>
      </c>
      <c r="H39" s="6" t="n">
        <v>5</v>
      </c>
      <c r="I39" s="6" t="n">
        <v>4</v>
      </c>
      <c r="J39" s="6" t="n">
        <v>5</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6" t="s">
        <v>20</v>
      </c>
      <c r="D40" s="49" t="s">
        <v>182</v>
      </c>
      <c r="E40" s="84" t="n">
        <f aca="false">IFERROR(__xludf.dummyfunction("COUNTA(SPLIT(D40,"" ""))/COUNTA(SPLIT($B$37,"" ""))"),0.366459627329193)</f>
        <v>0.3664596273</v>
      </c>
      <c r="F40" s="6" t="n">
        <v>4</v>
      </c>
      <c r="G40" s="6" t="n">
        <v>5</v>
      </c>
      <c r="H40" s="6" t="n">
        <v>4</v>
      </c>
      <c r="I40" s="6" t="n">
        <v>4</v>
      </c>
      <c r="J40" s="6" t="n">
        <v>5</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63" t="s">
        <v>183</v>
      </c>
      <c r="E42" s="81" t="n">
        <f aca="false">IFERROR(__xludf.dummyfunction("COUNTA(SPLIT(D42,"" ""))/COUNTA(SPLIT($B$42,"" ""))"),0.182829888712242)</f>
        <v>0.1828298887</v>
      </c>
      <c r="F42" s="56" t="n">
        <v>5</v>
      </c>
      <c r="G42" s="56" t="n">
        <v>5</v>
      </c>
      <c r="H42" s="56" t="n">
        <v>5</v>
      </c>
      <c r="I42" s="56" t="n">
        <v>4</v>
      </c>
      <c r="J42" s="56" t="n">
        <v>5</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49" t="s">
        <v>184</v>
      </c>
      <c r="E43" s="81" t="n">
        <f aca="false">IFERROR(__xludf.dummyfunction("COUNTA(SPLIT(D43,"" ""))/COUNTA(SPLIT($B$42,"" ""))"),0.146263910969793)</f>
        <v>0.146263911</v>
      </c>
      <c r="F43" s="6" t="n">
        <v>5</v>
      </c>
      <c r="G43" s="6" t="n">
        <v>4</v>
      </c>
      <c r="H43" s="6" t="n">
        <v>4</v>
      </c>
      <c r="I43" s="6" t="n">
        <v>4</v>
      </c>
      <c r="J43" s="6" t="n">
        <v>5</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185</v>
      </c>
      <c r="E44" s="108" t="n">
        <f aca="false">IFERROR(__xludf.dummyfunction("COUNTA(SPLIT(D44,"" ""))/COUNTA(SPLIT($B$42,"" ""))"),0.171701112877583)</f>
        <v>0.1717011129</v>
      </c>
      <c r="F44" s="6" t="n">
        <v>3</v>
      </c>
      <c r="G44" s="6" t="n">
        <v>4</v>
      </c>
      <c r="H44" s="6" t="n">
        <v>5</v>
      </c>
      <c r="I44" s="6" t="n">
        <v>4</v>
      </c>
      <c r="J44" s="6" t="n">
        <v>5</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186</v>
      </c>
      <c r="E45" s="104" t="n">
        <f aca="false">IFERROR(__xludf.dummyfunction("COUNTA(SPLIT(D45,"" ""))/COUNTA(SPLIT($B$42,"" ""))"),0.111287758346582)</f>
        <v>0.1112877583</v>
      </c>
      <c r="F45" s="6" t="n">
        <v>3</v>
      </c>
      <c r="G45" s="6" t="n">
        <v>4</v>
      </c>
      <c r="H45" s="6" t="n">
        <v>3</v>
      </c>
      <c r="I45" s="6" t="n">
        <v>5</v>
      </c>
      <c r="J45" s="6" t="n">
        <v>5</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63" t="s">
        <v>187</v>
      </c>
      <c r="E47" s="109" t="n">
        <f aca="false">IFERROR(__xludf.dummyfunction("COUNTA(SPLIT(D47,"" ""))/COUNTA(SPLIT($B$47,"" ""))"),0.319391634980989)</f>
        <v>0.319391635</v>
      </c>
      <c r="F47" s="56" t="n">
        <v>5</v>
      </c>
      <c r="G47" s="56" t="n">
        <v>5</v>
      </c>
      <c r="H47" s="56" t="n">
        <v>3</v>
      </c>
      <c r="I47" s="56" t="n">
        <v>4</v>
      </c>
      <c r="J47" s="56" t="n">
        <v>5</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49" t="s">
        <v>188</v>
      </c>
      <c r="E48" s="77" t="n">
        <f aca="false">IFERROR(__xludf.dummyfunction("COUNTA(SPLIT(D48,"" ""))/COUNTA(SPLIT($B$47,"" ""))"),0.14828897338403)</f>
        <v>0.1482889734</v>
      </c>
      <c r="F48" s="6" t="n">
        <v>4</v>
      </c>
      <c r="G48" s="6" t="n">
        <v>4</v>
      </c>
      <c r="H48" s="6" t="n">
        <v>5</v>
      </c>
      <c r="I48" s="6" t="n">
        <v>4</v>
      </c>
      <c r="J48" s="6" t="n">
        <v>3</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189</v>
      </c>
      <c r="E49" s="78" t="n">
        <f aca="false">IFERROR(__xludf.dummyfunction("COUNTA(SPLIT(D49,"" ""))/COUNTA(SPLIT($B$47,"" ""))"),0.458174904942966)</f>
        <v>0.4581749049</v>
      </c>
      <c r="F49" s="6" t="n">
        <v>3</v>
      </c>
      <c r="G49" s="6" t="n">
        <v>3</v>
      </c>
      <c r="H49" s="6" t="n">
        <v>4</v>
      </c>
      <c r="I49" s="6" t="n">
        <v>3</v>
      </c>
      <c r="J49" s="6" t="n">
        <v>5</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190</v>
      </c>
      <c r="E50" s="79" t="n">
        <f aca="false">IFERROR(__xludf.dummyfunction("COUNTA(SPLIT(D50,"" ""))/COUNTA(SPLIT($B$47,"" ""))"),0.14828897338403)</f>
        <v>0.1482889734</v>
      </c>
      <c r="F50" s="6" t="n">
        <v>5</v>
      </c>
      <c r="G50" s="6" t="n">
        <v>5</v>
      </c>
      <c r="H50" s="6" t="n">
        <v>5</v>
      </c>
      <c r="I50" s="6" t="n">
        <v>5</v>
      </c>
      <c r="J50" s="6" t="n">
        <v>4</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6"/>
      <c r="B52" s="55"/>
      <c r="C52" s="56" t="s">
        <v>18</v>
      </c>
      <c r="D52" s="63"/>
      <c r="E52" s="75" t="n">
        <f aca="false">IFERROR(__xludf.dummyfunction("COUNTA(SPLIT(D52,"" ""))/COUNTA(SPLIT($B$47,"" ""))"),0.00190114068441065)</f>
        <v>0.001901140684</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6"/>
      <c r="B53" s="76"/>
      <c r="C53" s="6" t="s">
        <v>19</v>
      </c>
      <c r="D53" s="49"/>
      <c r="E53" s="77" t="n">
        <f aca="false">IFERROR(__xludf.dummyfunction("COUNTA(SPLIT(D53,"" ""))/COUNTA(SPLIT($B$47,"" ""))"),0.00190114068441065)</f>
        <v>0.001901140684</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6"/>
      <c r="B54" s="76"/>
      <c r="C54" s="6" t="s">
        <v>8</v>
      </c>
      <c r="D54" s="49"/>
      <c r="E54" s="78" t="n">
        <f aca="false">IFERROR(__xludf.dummyfunction("COUNTA(SPLIT(D54,"" ""))/COUNTA(SPLIT($B$47,"" ""))"),0.00190114068441065)</f>
        <v>0.001901140684</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6"/>
      <c r="B55" s="76"/>
      <c r="C55" s="6" t="s">
        <v>20</v>
      </c>
      <c r="D55" s="49"/>
      <c r="E55" s="79" t="n">
        <f aca="false">IFERROR(__xludf.dummyfunction("COUNTA(SPLIT(D55,"" ""))/COUNTA(SPLIT($B$47,"" ""))"),0.00190114068441065)</f>
        <v>0.001901140684</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6"/>
      <c r="B57" s="55"/>
      <c r="C57" s="56" t="s">
        <v>18</v>
      </c>
      <c r="D57" s="63"/>
      <c r="E57" s="75" t="n">
        <f aca="false">IFERROR(__xludf.dummyfunction("COUNTA(SPLIT(D57,"" ""))/COUNTA(SPLIT($B$47,"" ""))"),0.00190114068441065)</f>
        <v>0.001901140684</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6"/>
      <c r="B58" s="76"/>
      <c r="C58" s="6" t="s">
        <v>19</v>
      </c>
      <c r="D58" s="49"/>
      <c r="E58" s="77" t="n">
        <f aca="false">IFERROR(__xludf.dummyfunction("COUNTA(SPLIT(D58,"" ""))/COUNTA(SPLIT($B$47,"" ""))"),0.00190114068441065)</f>
        <v>0.001901140684</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6"/>
      <c r="B59" s="76"/>
      <c r="C59" s="6" t="s">
        <v>8</v>
      </c>
      <c r="D59" s="49"/>
      <c r="E59" s="78" t="n">
        <f aca="false">IFERROR(__xludf.dummyfunction("COUNTA(SPLIT(D59,"" ""))/COUNTA(SPLIT($B$47,"" ""))"),0.00190114068441065)</f>
        <v>0.001901140684</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6"/>
      <c r="B60" s="76"/>
      <c r="C60" s="6" t="s">
        <v>20</v>
      </c>
      <c r="D60" s="49"/>
      <c r="E60" s="79" t="n">
        <f aca="false">IFERROR(__xludf.dummyfunction("COUNTA(SPLIT(D60,"" ""))/COUNTA(SPLIT($B$47,"" ""))"),0.00190114068441065)</f>
        <v>0.001901140684</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6"/>
      <c r="B62" s="55"/>
      <c r="C62" s="56" t="s">
        <v>18</v>
      </c>
      <c r="D62" s="63"/>
      <c r="E62" s="75" t="n">
        <f aca="false">IFERROR(__xludf.dummyfunction("COUNTA(SPLIT(D62,"" ""))/COUNTA(SPLIT($B$47,"" ""))"),0.00190114068441065)</f>
        <v>0.001901140684</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6"/>
      <c r="B63" s="76"/>
      <c r="C63" s="6" t="s">
        <v>19</v>
      </c>
      <c r="D63" s="49"/>
      <c r="E63" s="77" t="n">
        <f aca="false">IFERROR(__xludf.dummyfunction("COUNTA(SPLIT(D63,"" ""))/COUNTA(SPLIT($B$47,"" ""))"),0.00190114068441065)</f>
        <v>0.001901140684</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6"/>
      <c r="B64" s="76"/>
      <c r="C64" s="6" t="s">
        <v>8</v>
      </c>
      <c r="D64" s="49"/>
      <c r="E64" s="78" t="n">
        <f aca="false">IFERROR(__xludf.dummyfunction("COUNTA(SPLIT(D64,"" ""))/COUNTA(SPLIT($B$47,"" ""))"),0.00190114068441065)</f>
        <v>0.001901140684</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6"/>
      <c r="B65" s="76"/>
      <c r="C65" s="6" t="s">
        <v>20</v>
      </c>
      <c r="D65" s="49"/>
      <c r="E65" s="79" t="n">
        <f aca="false">IFERROR(__xludf.dummyfunction("COUNTA(SPLIT(D65,"" ""))/COUNTA(SPLIT($B$47,"" ""))"),0.00190114068441065)</f>
        <v>0.001901140684</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6"/>
      <c r="B67" s="55"/>
      <c r="C67" s="56" t="s">
        <v>18</v>
      </c>
      <c r="D67" s="63"/>
      <c r="E67" s="75" t="n">
        <f aca="false">IFERROR(__xludf.dummyfunction("COUNTA(SPLIT(D67,"" ""))/COUNTA(SPLIT($B$47,"" ""))"),0.00190114068441065)</f>
        <v>0.001901140684</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6"/>
      <c r="B68" s="76"/>
      <c r="C68" s="6" t="s">
        <v>19</v>
      </c>
      <c r="D68" s="49"/>
      <c r="E68" s="77" t="n">
        <f aca="false">IFERROR(__xludf.dummyfunction("COUNTA(SPLIT(D68,"" ""))/COUNTA(SPLIT($B$47,"" ""))"),0.00190114068441065)</f>
        <v>0.001901140684</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6"/>
      <c r="B69" s="76"/>
      <c r="C69" s="6" t="s">
        <v>8</v>
      </c>
      <c r="D69" s="49"/>
      <c r="E69" s="78" t="n">
        <f aca="false">IFERROR(__xludf.dummyfunction("COUNTA(SPLIT(D69,"" ""))/COUNTA(SPLIT($B$47,"" ""))"),0.00190114068441065)</f>
        <v>0.001901140684</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6"/>
      <c r="B70" s="76"/>
      <c r="C70" s="6" t="s">
        <v>20</v>
      </c>
      <c r="D70" s="49"/>
      <c r="E70" s="79" t="n">
        <f aca="false">IFERROR(__xludf.dummyfunction("COUNTA(SPLIT(D70,"" ""))/COUNTA(SPLIT($B$47,"" ""))"),0.00190114068441065)</f>
        <v>0.001901140684</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6"/>
      <c r="B72" s="55"/>
      <c r="C72" s="56" t="s">
        <v>18</v>
      </c>
      <c r="D72" s="63"/>
      <c r="E72" s="75" t="n">
        <f aca="false">IFERROR(__xludf.dummyfunction("COUNTA(SPLIT(D72,"" ""))/COUNTA(SPLIT($B$47,"" ""))"),0.00190114068441065)</f>
        <v>0.001901140684</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6"/>
      <c r="B73" s="76"/>
      <c r="C73" s="6" t="s">
        <v>19</v>
      </c>
      <c r="D73" s="49"/>
      <c r="E73" s="77" t="n">
        <f aca="false">IFERROR(__xludf.dummyfunction("COUNTA(SPLIT(D73,"" ""))/COUNTA(SPLIT($B$47,"" ""))"),0.00190114068441065)</f>
        <v>0.001901140684</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6"/>
      <c r="B74" s="76"/>
      <c r="C74" s="6" t="s">
        <v>8</v>
      </c>
      <c r="D74" s="49"/>
      <c r="E74" s="78" t="n">
        <f aca="false">IFERROR(__xludf.dummyfunction("COUNTA(SPLIT(D74,"" ""))/COUNTA(SPLIT($B$47,"" ""))"),0.00190114068441065)</f>
        <v>0.001901140684</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6"/>
      <c r="B75" s="76"/>
      <c r="C75" s="6" t="s">
        <v>20</v>
      </c>
      <c r="D75" s="49"/>
      <c r="E75" s="79" t="n">
        <f aca="false">IFERROR(__xludf.dummyfunction("COUNTA(SPLIT(D75,"" ""))/COUNTA(SPLIT($B$47,"" ""))"),0.00190114068441065)</f>
        <v>0.001901140684</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6"/>
      <c r="B77" s="55"/>
      <c r="C77" s="56" t="s">
        <v>18</v>
      </c>
      <c r="D77" s="63"/>
      <c r="E77" s="75" t="n">
        <f aca="false">IFERROR(__xludf.dummyfunction("COUNTA(SPLIT(D77,"" ""))/COUNTA(SPLIT($B$47,"" ""))"),0.00190114068441065)</f>
        <v>0.001901140684</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6"/>
      <c r="B78" s="76"/>
      <c r="C78" s="6" t="s">
        <v>19</v>
      </c>
      <c r="D78" s="49"/>
      <c r="E78" s="77" t="n">
        <f aca="false">IFERROR(__xludf.dummyfunction("COUNTA(SPLIT(D78,"" ""))/COUNTA(SPLIT($B$47,"" ""))"),0.00190114068441065)</f>
        <v>0.001901140684</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6"/>
      <c r="B79" s="76"/>
      <c r="C79" s="6" t="s">
        <v>8</v>
      </c>
      <c r="D79" s="49"/>
      <c r="E79" s="78" t="n">
        <f aca="false">IFERROR(__xludf.dummyfunction("COUNTA(SPLIT(D79,"" ""))/COUNTA(SPLIT($B$47,"" ""))"),0.00190114068441065)</f>
        <v>0.001901140684</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6"/>
      <c r="B80" s="76"/>
      <c r="C80" s="6" t="s">
        <v>20</v>
      </c>
      <c r="D80" s="49"/>
      <c r="E80" s="79" t="n">
        <f aca="false">IFERROR(__xludf.dummyfunction("COUNTA(SPLIT(D80,"" ""))/COUNTA(SPLIT($B$47,"" ""))"),0.00190114068441065)</f>
        <v>0.001901140684</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6"/>
      <c r="B82" s="55"/>
      <c r="C82" s="56" t="s">
        <v>18</v>
      </c>
      <c r="D82" s="63"/>
      <c r="E82" s="75" t="n">
        <f aca="false">IFERROR(__xludf.dummyfunction("COUNTA(SPLIT(D82,"" ""))/COUNTA(SPLIT($B$47,"" ""))"),0.00190114068441065)</f>
        <v>0.001901140684</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6"/>
      <c r="B83" s="76"/>
      <c r="C83" s="6" t="s">
        <v>19</v>
      </c>
      <c r="D83" s="49"/>
      <c r="E83" s="77" t="n">
        <f aca="false">IFERROR(__xludf.dummyfunction("COUNTA(SPLIT(D83,"" ""))/COUNTA(SPLIT($B$47,"" ""))"),0.00190114068441065)</f>
        <v>0.001901140684</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6"/>
      <c r="B84" s="76"/>
      <c r="C84" s="6" t="s">
        <v>8</v>
      </c>
      <c r="D84" s="49"/>
      <c r="E84" s="78" t="n">
        <f aca="false">IFERROR(__xludf.dummyfunction("COUNTA(SPLIT(D84,"" ""))/COUNTA(SPLIT($B$47,"" ""))"),0.00190114068441065)</f>
        <v>0.001901140684</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6"/>
      <c r="B85" s="76"/>
      <c r="C85" s="6" t="s">
        <v>20</v>
      </c>
      <c r="D85" s="49"/>
      <c r="E85" s="79" t="n">
        <f aca="false">IFERROR(__xludf.dummyfunction("COUNTA(SPLIT(D85,"" ""))/COUNTA(SPLIT($B$47,"" ""))"),0.00190114068441065)</f>
        <v>0.001901140684</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6"/>
      <c r="B87" s="55"/>
      <c r="C87" s="56" t="s">
        <v>18</v>
      </c>
      <c r="D87" s="63"/>
      <c r="E87" s="75" t="n">
        <f aca="false">IFERROR(__xludf.dummyfunction("COUNTA(SPLIT(D87,"" ""))/COUNTA(SPLIT($B$47,"" ""))"),0.00190114068441065)</f>
        <v>0.001901140684</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6"/>
      <c r="B88" s="76"/>
      <c r="C88" s="6" t="s">
        <v>19</v>
      </c>
      <c r="D88" s="49"/>
      <c r="E88" s="77" t="n">
        <f aca="false">IFERROR(__xludf.dummyfunction("COUNTA(SPLIT(D88,"" ""))/COUNTA(SPLIT($B$47,"" ""))"),0.00190114068441065)</f>
        <v>0.001901140684</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6"/>
      <c r="B89" s="76"/>
      <c r="C89" s="6" t="s">
        <v>8</v>
      </c>
      <c r="D89" s="49"/>
      <c r="E89" s="78" t="n">
        <f aca="false">IFERROR(__xludf.dummyfunction("COUNTA(SPLIT(D89,"" ""))/COUNTA(SPLIT($B$47,"" ""))"),0.00190114068441065)</f>
        <v>0.001901140684</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6"/>
      <c r="B90" s="76"/>
      <c r="C90" s="6" t="s">
        <v>20</v>
      </c>
      <c r="D90" s="49"/>
      <c r="E90" s="79" t="n">
        <f aca="false">IFERROR(__xludf.dummyfunction("COUNTA(SPLIT(D90,"" ""))/COUNTA(SPLIT($B$47,"" ""))"),0.00190114068441065)</f>
        <v>0.001901140684</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6"/>
      <c r="B92" s="55"/>
      <c r="C92" s="56" t="s">
        <v>18</v>
      </c>
      <c r="D92" s="63"/>
      <c r="E92" s="75" t="n">
        <f aca="false">IFERROR(__xludf.dummyfunction("COUNTA(SPLIT(D92,"" ""))/COUNTA(SPLIT($B$47,"" ""))"),0.00190114068441065)</f>
        <v>0.001901140684</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6"/>
      <c r="B93" s="76"/>
      <c r="C93" s="6" t="s">
        <v>19</v>
      </c>
      <c r="D93" s="49"/>
      <c r="E93" s="77" t="n">
        <f aca="false">IFERROR(__xludf.dummyfunction("COUNTA(SPLIT(D93,"" ""))/COUNTA(SPLIT($B$47,"" ""))"),0.00190114068441065)</f>
        <v>0.001901140684</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6"/>
      <c r="B94" s="76"/>
      <c r="C94" s="6" t="s">
        <v>8</v>
      </c>
      <c r="D94" s="49"/>
      <c r="E94" s="78" t="n">
        <f aca="false">IFERROR(__xludf.dummyfunction("COUNTA(SPLIT(D94,"" ""))/COUNTA(SPLIT($B$47,"" ""))"),0.00190114068441065)</f>
        <v>0.001901140684</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6"/>
      <c r="B95" s="76"/>
      <c r="C95" s="6" t="s">
        <v>20</v>
      </c>
      <c r="D95" s="49"/>
      <c r="E95" s="79" t="n">
        <f aca="false">IFERROR(__xludf.dummyfunction("COUNTA(SPLIT(D95,"" ""))/COUNTA(SPLIT($B$47,"" ""))"),0.00190114068441065)</f>
        <v>0.001901140684</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6"/>
      <c r="B97" s="55"/>
      <c r="C97" s="56" t="s">
        <v>18</v>
      </c>
      <c r="D97" s="63"/>
      <c r="E97" s="75" t="n">
        <f aca="false">IFERROR(__xludf.dummyfunction("COUNTA(SPLIT(D97,"" ""))/COUNTA(SPLIT($B$47,"" ""))"),0.00190114068441065)</f>
        <v>0.001901140684</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6"/>
      <c r="B98" s="76"/>
      <c r="C98" s="6" t="s">
        <v>19</v>
      </c>
      <c r="D98" s="49"/>
      <c r="E98" s="77" t="n">
        <f aca="false">IFERROR(__xludf.dummyfunction("COUNTA(SPLIT(D98,"" ""))/COUNTA(SPLIT($B$47,"" ""))"),0.00190114068441065)</f>
        <v>0.001901140684</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6"/>
      <c r="B99" s="76"/>
      <c r="C99" s="6" t="s">
        <v>8</v>
      </c>
      <c r="D99" s="49"/>
      <c r="E99" s="78" t="n">
        <f aca="false">IFERROR(__xludf.dummyfunction("COUNTA(SPLIT(D99,"" ""))/COUNTA(SPLIT($B$47,"" ""))"),0.00190114068441065)</f>
        <v>0.001901140684</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6"/>
      <c r="B100" s="76"/>
      <c r="C100" s="6" t="s">
        <v>20</v>
      </c>
      <c r="D100" s="49"/>
      <c r="E100" s="79" t="n">
        <f aca="false">IFERROR(__xludf.dummyfunction("COUNTA(SPLIT(D100,"" ""))/COUNTA(SPLIT($B$47,"" ""))"),0.00190114068441065)</f>
        <v>0.001901140684</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6"/>
      <c r="B102" s="55"/>
      <c r="C102" s="56" t="s">
        <v>18</v>
      </c>
      <c r="D102" s="63"/>
      <c r="E102" s="75" t="n">
        <f aca="false">IFERROR(__xludf.dummyfunction("COUNTA(SPLIT(D102,"" ""))/COUNTA(SPLIT($B$47,"" ""))"),0.00190114068441065)</f>
        <v>0.001901140684</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6"/>
      <c r="B103" s="76"/>
      <c r="C103" s="6" t="s">
        <v>19</v>
      </c>
      <c r="D103" s="49"/>
      <c r="E103" s="77" t="n">
        <f aca="false">IFERROR(__xludf.dummyfunction("COUNTA(SPLIT(D103,"" ""))/COUNTA(SPLIT($B$47,"" ""))"),0.00190114068441065)</f>
        <v>0.001901140684</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6"/>
      <c r="B104" s="76"/>
      <c r="C104" s="6" t="s">
        <v>8</v>
      </c>
      <c r="D104" s="49"/>
      <c r="E104" s="78" t="n">
        <f aca="false">IFERROR(__xludf.dummyfunction("COUNTA(SPLIT(D104,"" ""))/COUNTA(SPLIT($B$47,"" ""))"),0.00190114068441065)</f>
        <v>0.001901140684</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6"/>
      <c r="B105" s="76"/>
      <c r="C105" s="6" t="s">
        <v>20</v>
      </c>
      <c r="D105" s="49"/>
      <c r="E105" s="79" t="n">
        <f aca="false">IFERROR(__xludf.dummyfunction("COUNTA(SPLIT(D105,"" ""))/COUNTA(SPLIT($B$47,"" ""))"),0.00190114068441065)</f>
        <v>0.001901140684</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6"/>
      <c r="B107" s="55"/>
      <c r="C107" s="56" t="s">
        <v>18</v>
      </c>
      <c r="D107" s="63"/>
      <c r="E107" s="75" t="n">
        <f aca="false">IFERROR(__xludf.dummyfunction("COUNTA(SPLIT(D107,"" ""))/COUNTA(SPLIT($B$47,"" ""))"),0.00190114068441065)</f>
        <v>0.001901140684</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6"/>
      <c r="B108" s="76"/>
      <c r="C108" s="6" t="s">
        <v>19</v>
      </c>
      <c r="D108" s="49"/>
      <c r="E108" s="77" t="n">
        <f aca="false">IFERROR(__xludf.dummyfunction("COUNTA(SPLIT(D108,"" ""))/COUNTA(SPLIT($B$47,"" ""))"),0.00190114068441065)</f>
        <v>0.001901140684</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6"/>
      <c r="B109" s="76"/>
      <c r="C109" s="6" t="s">
        <v>8</v>
      </c>
      <c r="D109" s="49"/>
      <c r="E109" s="78" t="n">
        <f aca="false">IFERROR(__xludf.dummyfunction("COUNTA(SPLIT(D109,"" ""))/COUNTA(SPLIT($B$47,"" ""))"),0.00190114068441065)</f>
        <v>0.001901140684</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6"/>
      <c r="B110" s="76"/>
      <c r="C110" s="6" t="s">
        <v>20</v>
      </c>
      <c r="D110" s="49"/>
      <c r="E110" s="79" t="n">
        <f aca="false">IFERROR(__xludf.dummyfunction("COUNTA(SPLIT(D110,"" ""))/COUNTA(SPLIT($B$47,"" ""))"),0.00190114068441065)</f>
        <v>0.001901140684</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6"/>
      <c r="B112" s="55"/>
      <c r="C112" s="56" t="s">
        <v>18</v>
      </c>
      <c r="D112" s="63"/>
      <c r="E112" s="75" t="n">
        <f aca="false">IFERROR(__xludf.dummyfunction("COUNTA(SPLIT(D112,"" ""))/COUNTA(SPLIT($B$47,"" ""))"),0.00190114068441065)</f>
        <v>0.001901140684</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6"/>
      <c r="B113" s="76"/>
      <c r="C113" s="6" t="s">
        <v>19</v>
      </c>
      <c r="D113" s="49"/>
      <c r="E113" s="77" t="n">
        <f aca="false">IFERROR(__xludf.dummyfunction("COUNTA(SPLIT(D113,"" ""))/COUNTA(SPLIT($B$47,"" ""))"),0.00190114068441065)</f>
        <v>0.001901140684</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6"/>
      <c r="B114" s="76"/>
      <c r="C114" s="6" t="s">
        <v>8</v>
      </c>
      <c r="D114" s="49"/>
      <c r="E114" s="78" t="n">
        <f aca="false">IFERROR(__xludf.dummyfunction("COUNTA(SPLIT(D114,"" ""))/COUNTA(SPLIT($B$47,"" ""))"),0.00190114068441065)</f>
        <v>0.001901140684</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6"/>
      <c r="B115" s="76"/>
      <c r="C115" s="6" t="s">
        <v>20</v>
      </c>
      <c r="D115" s="49"/>
      <c r="E115" s="79" t="n">
        <f aca="false">IFERROR(__xludf.dummyfunction("COUNTA(SPLIT(D115,"" ""))/COUNTA(SPLIT($B$47,"" ""))"),0.00190114068441065)</f>
        <v>0.001901140684</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6"/>
      <c r="B117" s="55"/>
      <c r="C117" s="56" t="s">
        <v>18</v>
      </c>
      <c r="D117" s="63"/>
      <c r="E117" s="75" t="n">
        <f aca="false">IFERROR(__xludf.dummyfunction("COUNTA(SPLIT(D117,"" ""))/COUNTA(SPLIT($B$47,"" ""))"),0.00190114068441065)</f>
        <v>0.001901140684</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6"/>
      <c r="B118" s="76"/>
      <c r="C118" s="6" t="s">
        <v>19</v>
      </c>
      <c r="D118" s="49"/>
      <c r="E118" s="77" t="n">
        <f aca="false">IFERROR(__xludf.dummyfunction("COUNTA(SPLIT(D118,"" ""))/COUNTA(SPLIT($B$47,"" ""))"),0.00190114068441065)</f>
        <v>0.001901140684</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6"/>
      <c r="B119" s="76"/>
      <c r="C119" s="6" t="s">
        <v>8</v>
      </c>
      <c r="D119" s="49"/>
      <c r="E119" s="78" t="n">
        <f aca="false">IFERROR(__xludf.dummyfunction("COUNTA(SPLIT(D119,"" ""))/COUNTA(SPLIT($B$47,"" ""))"),0.00190114068441065)</f>
        <v>0.001901140684</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6"/>
      <c r="B120" s="76"/>
      <c r="C120" s="6" t="s">
        <v>20</v>
      </c>
      <c r="D120" s="49"/>
      <c r="E120" s="79" t="n">
        <f aca="false">IFERROR(__xludf.dummyfunction("COUNTA(SPLIT(D120,"" ""))/COUNTA(SPLIT($B$47,"" ""))"),0.00190114068441065)</f>
        <v>0.001901140684</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6"/>
      <c r="B122" s="55"/>
      <c r="C122" s="56" t="s">
        <v>18</v>
      </c>
      <c r="D122" s="63"/>
      <c r="E122" s="75" t="n">
        <f aca="false">IFERROR(__xludf.dummyfunction("COUNTA(SPLIT(D122,"" ""))/COUNTA(SPLIT($B$47,"" ""))"),0.00190114068441065)</f>
        <v>0.001901140684</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6"/>
      <c r="B123" s="76"/>
      <c r="C123" s="6" t="s">
        <v>19</v>
      </c>
      <c r="D123" s="49"/>
      <c r="E123" s="77" t="n">
        <f aca="false">IFERROR(__xludf.dummyfunction("COUNTA(SPLIT(D123,"" ""))/COUNTA(SPLIT($B$47,"" ""))"),0.00190114068441065)</f>
        <v>0.001901140684</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6"/>
      <c r="B124" s="76"/>
      <c r="C124" s="6" t="s">
        <v>8</v>
      </c>
      <c r="D124" s="49"/>
      <c r="E124" s="78" t="n">
        <f aca="false">IFERROR(__xludf.dummyfunction("COUNTA(SPLIT(D124,"" ""))/COUNTA(SPLIT($B$47,"" ""))"),0.00190114068441065)</f>
        <v>0.001901140684</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6"/>
      <c r="B125" s="76"/>
      <c r="C125" s="6" t="s">
        <v>20</v>
      </c>
      <c r="D125" s="49"/>
      <c r="E125" s="79" t="n">
        <f aca="false">IFERROR(__xludf.dummyfunction("COUNTA(SPLIT(D125,"" ""))/COUNTA(SPLIT($B$47,"" ""))"),0.00190114068441065)</f>
        <v>0.001901140684</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6"/>
      <c r="B127" s="55"/>
      <c r="C127" s="56" t="s">
        <v>18</v>
      </c>
      <c r="D127" s="63"/>
      <c r="E127" s="75" t="n">
        <f aca="false">IFERROR(__xludf.dummyfunction("COUNTA(SPLIT(D127,"" ""))/COUNTA(SPLIT($B$47,"" ""))"),0.00190114068441065)</f>
        <v>0.001901140684</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6"/>
      <c r="B128" s="76"/>
      <c r="C128" s="6" t="s">
        <v>19</v>
      </c>
      <c r="D128" s="49"/>
      <c r="E128" s="77" t="n">
        <f aca="false">IFERROR(__xludf.dummyfunction("COUNTA(SPLIT(D128,"" ""))/COUNTA(SPLIT($B$47,"" ""))"),0.00190114068441065)</f>
        <v>0.001901140684</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6"/>
      <c r="B129" s="76"/>
      <c r="C129" s="6" t="s">
        <v>8</v>
      </c>
      <c r="D129" s="49"/>
      <c r="E129" s="78" t="n">
        <f aca="false">IFERROR(__xludf.dummyfunction("COUNTA(SPLIT(D129,"" ""))/COUNTA(SPLIT($B$47,"" ""))"),0.00190114068441065)</f>
        <v>0.001901140684</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6"/>
      <c r="B130" s="76"/>
      <c r="C130" s="6" t="s">
        <v>20</v>
      </c>
      <c r="D130" s="49"/>
      <c r="E130" s="79" t="n">
        <f aca="false">IFERROR(__xludf.dummyfunction("COUNTA(SPLIT(D130,"" ""))/COUNTA(SPLIT($B$47,"" ""))"),0.00190114068441065)</f>
        <v>0.001901140684</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6"/>
      <c r="B132" s="55"/>
      <c r="C132" s="56" t="s">
        <v>18</v>
      </c>
      <c r="D132" s="63"/>
      <c r="E132" s="75" t="n">
        <f aca="false">IFERROR(__xludf.dummyfunction("COUNTA(SPLIT(D132,"" ""))/COUNTA(SPLIT($B$47,"" ""))"),0.00190114068441065)</f>
        <v>0.001901140684</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6"/>
      <c r="B133" s="76"/>
      <c r="C133" s="6" t="s">
        <v>19</v>
      </c>
      <c r="D133" s="49"/>
      <c r="E133" s="77" t="n">
        <f aca="false">IFERROR(__xludf.dummyfunction("COUNTA(SPLIT(D133,"" ""))/COUNTA(SPLIT($B$47,"" ""))"),0.00190114068441065)</f>
        <v>0.001901140684</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6"/>
      <c r="B134" s="76"/>
      <c r="C134" s="6" t="s">
        <v>8</v>
      </c>
      <c r="D134" s="49"/>
      <c r="E134" s="78" t="n">
        <f aca="false">IFERROR(__xludf.dummyfunction("COUNTA(SPLIT(D134,"" ""))/COUNTA(SPLIT($B$47,"" ""))"),0.00190114068441065)</f>
        <v>0.001901140684</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6"/>
      <c r="B135" s="76"/>
      <c r="C135" s="6" t="s">
        <v>20</v>
      </c>
      <c r="D135" s="49"/>
      <c r="E135" s="79" t="n">
        <f aca="false">IFERROR(__xludf.dummyfunction("COUNTA(SPLIT(D135,"" ""))/COUNTA(SPLIT($B$47,"" ""))"),0.00190114068441065)</f>
        <v>0.001901140684</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6"/>
      <c r="B137" s="55"/>
      <c r="C137" s="56" t="s">
        <v>18</v>
      </c>
      <c r="D137" s="63"/>
      <c r="E137" s="75" t="n">
        <f aca="false">IFERROR(__xludf.dummyfunction("COUNTA(SPLIT(D137,"" ""))/COUNTA(SPLIT($B$47,"" ""))"),0.00190114068441065)</f>
        <v>0.001901140684</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6"/>
      <c r="B138" s="76"/>
      <c r="C138" s="6" t="s">
        <v>19</v>
      </c>
      <c r="D138" s="49"/>
      <c r="E138" s="77" t="n">
        <f aca="false">IFERROR(__xludf.dummyfunction("COUNTA(SPLIT(D138,"" ""))/COUNTA(SPLIT($B$47,"" ""))"),0.00190114068441065)</f>
        <v>0.001901140684</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6"/>
      <c r="B139" s="76"/>
      <c r="C139" s="6" t="s">
        <v>8</v>
      </c>
      <c r="D139" s="49"/>
      <c r="E139" s="78" t="n">
        <f aca="false">IFERROR(__xludf.dummyfunction("COUNTA(SPLIT(D139,"" ""))/COUNTA(SPLIT($B$47,"" ""))"),0.00190114068441065)</f>
        <v>0.001901140684</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6"/>
      <c r="B140" s="76"/>
      <c r="C140" s="6" t="s">
        <v>20</v>
      </c>
      <c r="D140" s="49"/>
      <c r="E140" s="79" t="n">
        <f aca="false">IFERROR(__xludf.dummyfunction("COUNTA(SPLIT(D140,"" ""))/COUNTA(SPLIT($B$47,"" ""))"),0.00190114068441065)</f>
        <v>0.001901140684</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6"/>
      <c r="B142" s="55"/>
      <c r="C142" s="56" t="s">
        <v>18</v>
      </c>
      <c r="D142" s="63"/>
      <c r="E142" s="75" t="n">
        <f aca="false">IFERROR(__xludf.dummyfunction("COUNTA(SPLIT(D142,"" ""))/COUNTA(SPLIT($B$47,"" ""))"),0.00190114068441065)</f>
        <v>0.001901140684</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6"/>
      <c r="B143" s="76"/>
      <c r="C143" s="6" t="s">
        <v>19</v>
      </c>
      <c r="D143" s="49"/>
      <c r="E143" s="77" t="n">
        <f aca="false">IFERROR(__xludf.dummyfunction("COUNTA(SPLIT(D143,"" ""))/COUNTA(SPLIT($B$47,"" ""))"),0.00190114068441065)</f>
        <v>0.001901140684</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6"/>
      <c r="B144" s="76"/>
      <c r="C144" s="6" t="s">
        <v>8</v>
      </c>
      <c r="D144" s="49"/>
      <c r="E144" s="78" t="n">
        <f aca="false">IFERROR(__xludf.dummyfunction("COUNTA(SPLIT(D144,"" ""))/COUNTA(SPLIT($B$47,"" ""))"),0.00190114068441065)</f>
        <v>0.001901140684</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6"/>
      <c r="B145" s="76"/>
      <c r="C145" s="6" t="s">
        <v>20</v>
      </c>
      <c r="D145" s="49"/>
      <c r="E145" s="79" t="n">
        <f aca="false">IFERROR(__xludf.dummyfunction("COUNTA(SPLIT(D145,"" ""))/COUNTA(SPLIT($B$47,"" ""))"),0.00190114068441065)</f>
        <v>0.001901140684</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6"/>
      <c r="B147" s="55"/>
      <c r="C147" s="56" t="s">
        <v>18</v>
      </c>
      <c r="D147" s="63"/>
      <c r="E147" s="75" t="n">
        <f aca="false">IFERROR(__xludf.dummyfunction("COUNTA(SPLIT(D147,"" ""))/COUNTA(SPLIT($B$47,"" ""))"),0.00190114068441065)</f>
        <v>0.001901140684</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6"/>
      <c r="B148" s="76"/>
      <c r="C148" s="6" t="s">
        <v>19</v>
      </c>
      <c r="D148" s="49"/>
      <c r="E148" s="77" t="n">
        <f aca="false">IFERROR(__xludf.dummyfunction("COUNTA(SPLIT(D148,"" ""))/COUNTA(SPLIT($B$47,"" ""))"),0.00190114068441065)</f>
        <v>0.001901140684</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6"/>
      <c r="B149" s="76"/>
      <c r="C149" s="6" t="s">
        <v>8</v>
      </c>
      <c r="D149" s="49"/>
      <c r="E149" s="78" t="n">
        <f aca="false">IFERROR(__xludf.dummyfunction("COUNTA(SPLIT(D149,"" ""))/COUNTA(SPLIT($B$47,"" ""))"),0.00190114068441065)</f>
        <v>0.001901140684</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6"/>
      <c r="B150" s="76"/>
      <c r="C150" s="6" t="s">
        <v>20</v>
      </c>
      <c r="D150" s="49"/>
      <c r="E150" s="79" t="n">
        <f aca="false">IFERROR(__xludf.dummyfunction("COUNTA(SPLIT(D150,"" ""))/COUNTA(SPLIT($B$47,"" ""))"),0.00190114068441065)</f>
        <v>0.001901140684</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6"/>
      <c r="B152" s="55"/>
      <c r="C152" s="56" t="s">
        <v>18</v>
      </c>
      <c r="D152" s="63"/>
      <c r="E152" s="75" t="n">
        <f aca="false">IFERROR(__xludf.dummyfunction("COUNTA(SPLIT(D152,"" ""))/COUNTA(SPLIT($B$47,"" ""))"),0.00190114068441065)</f>
        <v>0.001901140684</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6"/>
      <c r="B153" s="76"/>
      <c r="C153" s="6" t="s">
        <v>19</v>
      </c>
      <c r="D153" s="49"/>
      <c r="E153" s="77" t="n">
        <f aca="false">IFERROR(__xludf.dummyfunction("COUNTA(SPLIT(D153,"" ""))/COUNTA(SPLIT($B$47,"" ""))"),0.00190114068441065)</f>
        <v>0.001901140684</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6"/>
      <c r="B154" s="76"/>
      <c r="C154" s="6" t="s">
        <v>8</v>
      </c>
      <c r="D154" s="49"/>
      <c r="E154" s="78" t="n">
        <f aca="false">IFERROR(__xludf.dummyfunction("COUNTA(SPLIT(D154,"" ""))/COUNTA(SPLIT($B$47,"" ""))"),0.00190114068441065)</f>
        <v>0.001901140684</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6"/>
      <c r="B155" s="76"/>
      <c r="C155" s="6" t="s">
        <v>20</v>
      </c>
      <c r="D155" s="49"/>
      <c r="E155" s="79" t="n">
        <f aca="false">IFERROR(__xludf.dummyfunction("COUNTA(SPLIT(D155,"" ""))/COUNTA(SPLIT($B$47,"" ""))"),0.00190114068441065)</f>
        <v>0.001901140684</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6"/>
      <c r="B157" s="55"/>
      <c r="C157" s="56" t="s">
        <v>18</v>
      </c>
      <c r="D157" s="63"/>
      <c r="E157" s="75" t="n">
        <f aca="false">IFERROR(__xludf.dummyfunction("COUNTA(SPLIT(D157,"" ""))/COUNTA(SPLIT($B$47,"" ""))"),0.00190114068441065)</f>
        <v>0.001901140684</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6"/>
      <c r="B158" s="76"/>
      <c r="C158" s="6" t="s">
        <v>19</v>
      </c>
      <c r="D158" s="49"/>
      <c r="E158" s="77" t="n">
        <f aca="false">IFERROR(__xludf.dummyfunction("COUNTA(SPLIT(D158,"" ""))/COUNTA(SPLIT($B$47,"" ""))"),0.00190114068441065)</f>
        <v>0.001901140684</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6"/>
      <c r="B159" s="76"/>
      <c r="C159" s="6" t="s">
        <v>8</v>
      </c>
      <c r="D159" s="49"/>
      <c r="E159" s="78" t="n">
        <f aca="false">IFERROR(__xludf.dummyfunction("COUNTA(SPLIT(D159,"" ""))/COUNTA(SPLIT($B$47,"" ""))"),0.00190114068441065)</f>
        <v>0.001901140684</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6"/>
      <c r="B160" s="76"/>
      <c r="C160" s="6" t="s">
        <v>20</v>
      </c>
      <c r="D160" s="49"/>
      <c r="E160" s="79" t="n">
        <f aca="false">IFERROR(__xludf.dummyfunction("COUNTA(SPLIT(D160,"" ""))/COUNTA(SPLIT($B$47,"" ""))"),0.00190114068441065)</f>
        <v>0.001901140684</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6"/>
      <c r="B162" s="55"/>
      <c r="C162" s="56" t="s">
        <v>18</v>
      </c>
      <c r="D162" s="63"/>
      <c r="E162" s="75" t="n">
        <f aca="false">IFERROR(__xludf.dummyfunction("COUNTA(SPLIT(D162,"" ""))/COUNTA(SPLIT($B$47,"" ""))"),0.00190114068441065)</f>
        <v>0.001901140684</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6"/>
      <c r="B163" s="76"/>
      <c r="C163" s="6" t="s">
        <v>19</v>
      </c>
      <c r="D163" s="49"/>
      <c r="E163" s="77" t="n">
        <f aca="false">IFERROR(__xludf.dummyfunction("COUNTA(SPLIT(D163,"" ""))/COUNTA(SPLIT($B$47,"" ""))"),0.00190114068441065)</f>
        <v>0.001901140684</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6"/>
      <c r="B164" s="76"/>
      <c r="C164" s="6" t="s">
        <v>8</v>
      </c>
      <c r="D164" s="49"/>
      <c r="E164" s="78" t="n">
        <f aca="false">IFERROR(__xludf.dummyfunction("COUNTA(SPLIT(D164,"" ""))/COUNTA(SPLIT($B$47,"" ""))"),0.00190114068441065)</f>
        <v>0.001901140684</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6"/>
      <c r="B165" s="76"/>
      <c r="C165" s="6" t="s">
        <v>20</v>
      </c>
      <c r="D165" s="49"/>
      <c r="E165" s="79" t="n">
        <f aca="false">IFERROR(__xludf.dummyfunction("COUNTA(SPLIT(D165,"" ""))/COUNTA(SPLIT($B$47,"" ""))"),0.00190114068441065)</f>
        <v>0.001901140684</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3"/>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kirola/hau-badakit-egunen-batean-aterako-da-barruan-dudan-jokoa_2123931_102.html"/>
    <hyperlink ref="A7" r:id="rId3" display="https://www.berria.eus/ekonomia/kutxabankek-2116-euro-bideratu-zituen-karbono-gutxiko-proiektuak-finantzatzera_2120192_102.html"/>
    <hyperlink ref="A12" r:id="rId4" display="https://www.berria.eus/bizigiro/tradizioa-eta-abangoardia_2126379_102.html"/>
    <hyperlink ref="A17" r:id="rId5" display="https://www.berria.eus/mundua/nbek-43-mila-milioi-euro-eskatu-ditu-datorren-urtean-laguntza-humanitarioa-bermatzeko_2117704_102.html"/>
    <hyperlink ref="A22" r:id="rId6" display="https://www.berria.eus/kultura/umeak-amari-eman-dio-bidea_2124508_102.html"/>
    <hyperlink ref="A27" r:id="rId7" display="https://www.berria.eus/euskal-herria/pintaketa-faxistak-egin-dituzte-irunean_2124262_102.html"/>
    <hyperlink ref="A32" r:id="rId8" display="https://www.berria.eus/ekonomia/eolikoen-arlorako-laguntzetan-orain-halako-bi-jarriko-du-ebk-1400-milioi_1343992_102.html"/>
    <hyperlink ref="A37" r:id="rId9" display="https://www.berria.eus/kultura/itsasun-egingo-dute-irailekoak-poesia-jaialdia-aurten_2125293_102.html"/>
    <hyperlink ref="A42" r:id="rId10" display="https://www.berria.eus/kultura/nolabaiteko-kontrarreforma-bat-gertatzen-ari-da-eta-horren-aurrean-elkartu-beharra-daukagu_2124481_102.html"/>
    <hyperlink ref="A47" r:id="rId11" display="https://www.berria.eus/euskal-herria/ortuzarrek-dio-eajk-euskadiko-estatus-berriari-bultzada-eman-nahi-diola_2124257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52:A101 B3"/>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49" t="s">
        <v>191</v>
      </c>
      <c r="E2" s="77" t="n">
        <f aca="false">IFERROR(__xludf.dummyfunction("COUNTA(SPLIT(D2,"" ""))/COUNTA(SPLIT($B$2,"" ""))"),0.112454655380895)</f>
        <v>0.1124546554</v>
      </c>
      <c r="F2" s="6" t="n">
        <v>4</v>
      </c>
      <c r="G2" s="6" t="n">
        <v>4</v>
      </c>
      <c r="H2" s="6" t="n">
        <v>4</v>
      </c>
      <c r="I2" s="6" t="n">
        <v>5</v>
      </c>
      <c r="J2" s="6" t="n">
        <v>3</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19</v>
      </c>
      <c r="D3" s="80" t="s">
        <v>192</v>
      </c>
      <c r="E3" s="81" t="n">
        <f aca="false">IFERROR(__xludf.dummyfunction("COUNTA(SPLIT(D3,"" ""))/COUNTA(SPLIT($B$2,"" ""))"),0.141475211608223)</f>
        <v>0.1414752116</v>
      </c>
      <c r="F3" s="6" t="n">
        <v>4</v>
      </c>
      <c r="G3" s="6" t="n">
        <v>4</v>
      </c>
      <c r="H3" s="6" t="n">
        <v>3</v>
      </c>
      <c r="I3" s="6" t="n">
        <v>4</v>
      </c>
      <c r="J3" s="6" t="n">
        <v>5</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t="s">
        <v>8</v>
      </c>
      <c r="D4" s="89" t="s">
        <v>193</v>
      </c>
      <c r="E4" s="83" t="n">
        <f aca="false">IFERROR(__xludf.dummyfunction("COUNTA(SPLIT(D4,"" ""))/COUNTA(SPLIT($B$2,"" ""))"),0.183796856106409)</f>
        <v>0.1837968561</v>
      </c>
      <c r="F4" s="6" t="n">
        <v>3</v>
      </c>
      <c r="G4" s="6" t="n">
        <v>4</v>
      </c>
      <c r="H4" s="6" t="n">
        <v>3</v>
      </c>
      <c r="I4" s="6" t="n">
        <v>4</v>
      </c>
      <c r="J4" s="6" t="n">
        <v>5</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t="s">
        <v>20</v>
      </c>
      <c r="D5" s="49" t="s">
        <v>194</v>
      </c>
      <c r="E5" s="84" t="n">
        <f aca="false">IFERROR(__xludf.dummyfunction("COUNTA(SPLIT(D5,"" ""))/COUNTA(SPLIT($B$2,"" ""))"),0.0810157194679565)</f>
        <v>0.08101571947</v>
      </c>
      <c r="F5" s="6" t="n">
        <v>4</v>
      </c>
      <c r="G5" s="6" t="n">
        <v>4</v>
      </c>
      <c r="H5" s="6" t="n">
        <v>3</v>
      </c>
      <c r="I5" s="6" t="n">
        <v>5</v>
      </c>
      <c r="J5" s="6" t="n">
        <v>3</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63" t="s">
        <v>195</v>
      </c>
      <c r="E7" s="86" t="n">
        <f aca="false">IFERROR(__xludf.dummyfunction("COUNTA(SPLIT(D7,"" ""))/COUNTA(SPLIT($B$7,"" ""))"),0.480314960629921)</f>
        <v>0.4803149606</v>
      </c>
      <c r="F7" s="56" t="n">
        <v>5</v>
      </c>
      <c r="G7" s="56" t="n">
        <v>4</v>
      </c>
      <c r="H7" s="56" t="n">
        <v>5</v>
      </c>
      <c r="I7" s="56" t="n">
        <v>4</v>
      </c>
      <c r="J7" s="56" t="n">
        <v>5</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89" t="s">
        <v>196</v>
      </c>
      <c r="E8" s="87" t="n">
        <f aca="false">IFERROR(__xludf.dummyfunction("COUNTA(SPLIT(D8,"" ""))/COUNTA(SPLIT($B$7,"" ""))"),0.496062992125984)</f>
        <v>0.4960629921</v>
      </c>
      <c r="F8" s="6" t="n">
        <v>4</v>
      </c>
      <c r="G8" s="6" t="n">
        <v>4</v>
      </c>
      <c r="H8" s="6" t="n">
        <v>4</v>
      </c>
      <c r="I8" s="6" t="n">
        <v>4</v>
      </c>
      <c r="J8" s="6" t="n">
        <v>5</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49" t="s">
        <v>197</v>
      </c>
      <c r="E9" s="88" t="n">
        <f aca="false">IFERROR(__xludf.dummyfunction("COUNTA(SPLIT(D9,"" ""))/COUNTA(SPLIT($B$7,"" ""))"),0.637795275590551)</f>
        <v>0.6377952756</v>
      </c>
      <c r="F9" s="6" t="n">
        <v>3</v>
      </c>
      <c r="G9" s="6" t="n">
        <v>3</v>
      </c>
      <c r="H9" s="6" t="n">
        <v>3</v>
      </c>
      <c r="I9" s="6" t="n">
        <v>3</v>
      </c>
      <c r="J9" s="6"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49" t="s">
        <v>198</v>
      </c>
      <c r="E10" s="70" t="n">
        <f aca="false">IFERROR(__xludf.dummyfunction("COUNTA(SPLIT(D10,"" ""))/COUNTA(SPLIT($B$7,"" ""))"),0.433070866141732)</f>
        <v>0.4330708661</v>
      </c>
      <c r="F10" s="6" t="n">
        <v>4</v>
      </c>
      <c r="G10" s="6" t="n">
        <v>4</v>
      </c>
      <c r="H10" s="6" t="n">
        <v>3</v>
      </c>
      <c r="I10" s="6" t="n">
        <v>4</v>
      </c>
      <c r="J10" s="6" t="n">
        <v>5</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60" t="s">
        <v>39</v>
      </c>
      <c r="B12" s="55" t="s">
        <v>40</v>
      </c>
      <c r="C12" s="56" t="s">
        <v>18</v>
      </c>
      <c r="D12" s="63" t="s">
        <v>199</v>
      </c>
      <c r="E12" s="91" t="n">
        <f aca="false">IFERROR(__xludf.dummyfunction("COUNTA(SPLIT(D12,"" ""))/COUNTA(SPLIT($B$12,"" ""))"),0.192105263157895)</f>
        <v>0.1921052632</v>
      </c>
      <c r="F12" s="56" t="n">
        <v>4</v>
      </c>
      <c r="G12" s="56" t="n">
        <v>5</v>
      </c>
      <c r="H12" s="56" t="n">
        <v>4</v>
      </c>
      <c r="I12" s="56" t="n">
        <v>4</v>
      </c>
      <c r="J12" s="56" t="n">
        <v>5</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60"/>
      <c r="B13" s="60"/>
      <c r="C13" s="6" t="s">
        <v>19</v>
      </c>
      <c r="D13" s="49" t="s">
        <v>200</v>
      </c>
      <c r="E13" s="91" t="n">
        <f aca="false">IFERROR(__xludf.dummyfunction("COUNTA(SPLIT(D13,"" ""))/COUNTA(SPLIT($B$12,"" ""))"),0.163157894736842)</f>
        <v>0.1631578947</v>
      </c>
      <c r="F13" s="6" t="n">
        <v>4</v>
      </c>
      <c r="G13" s="6" t="n">
        <v>3</v>
      </c>
      <c r="H13" s="6" t="n">
        <v>5</v>
      </c>
      <c r="I13" s="6" t="n">
        <v>5</v>
      </c>
      <c r="J13" s="6" t="n">
        <v>4</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62"/>
      <c r="B14" s="55"/>
      <c r="C14" s="6" t="s">
        <v>8</v>
      </c>
      <c r="D14" s="49" t="s">
        <v>201</v>
      </c>
      <c r="E14" s="92" t="n">
        <f aca="false">IFERROR(__xludf.dummyfunction("COUNTA(SPLIT(D14,"" ""))/COUNTA(SPLIT($B$12,"" ""))"),0.252631578947368)</f>
        <v>0.2526315789</v>
      </c>
      <c r="F14" s="6" t="n">
        <v>3</v>
      </c>
      <c r="G14" s="6" t="n">
        <v>5</v>
      </c>
      <c r="H14" s="6" t="n">
        <v>4</v>
      </c>
      <c r="I14" s="6" t="n">
        <v>4</v>
      </c>
      <c r="J14" s="6" t="n">
        <v>5</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62"/>
      <c r="B15" s="55"/>
      <c r="C15" s="6" t="s">
        <v>20</v>
      </c>
      <c r="D15" s="49" t="s">
        <v>202</v>
      </c>
      <c r="E15" s="93" t="n">
        <f aca="false">IFERROR(__xludf.dummyfunction("COUNTA(SPLIT(D15,"" ""))/COUNTA(SPLIT($B$12,"" ""))"),0.144736842105263)</f>
        <v>0.1447368421</v>
      </c>
      <c r="F15" s="6" t="n">
        <v>4</v>
      </c>
      <c r="G15" s="6" t="n">
        <v>5</v>
      </c>
      <c r="H15" s="6" t="n">
        <v>5</v>
      </c>
      <c r="I15" s="6" t="n">
        <v>5</v>
      </c>
      <c r="J15" s="6" t="n">
        <v>5</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60" t="s">
        <v>43</v>
      </c>
      <c r="B17" s="55" t="s">
        <v>44</v>
      </c>
      <c r="C17" s="56" t="s">
        <v>18</v>
      </c>
      <c r="D17" s="63" t="s">
        <v>203</v>
      </c>
      <c r="E17" s="94" t="n">
        <f aca="false">IFERROR(__xludf.dummyfunction("COUNTA(SPLIT(D17,"" ""))/COUNTA(SPLIT($B$17,"" ""))"),0.136363636363636)</f>
        <v>0.1363636364</v>
      </c>
      <c r="F17" s="56" t="n">
        <v>4</v>
      </c>
      <c r="G17" s="56" t="n">
        <v>5</v>
      </c>
      <c r="H17" s="56" t="n">
        <v>3</v>
      </c>
      <c r="I17" s="56" t="n">
        <v>5</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60"/>
      <c r="B18" s="60"/>
      <c r="C18" s="6" t="s">
        <v>19</v>
      </c>
      <c r="D18" s="80" t="s">
        <v>204</v>
      </c>
      <c r="E18" s="95" t="n">
        <f aca="false">IFERROR(__xludf.dummyfunction("COUNTA(SPLIT(D18,"" ""))/COUNTA(SPLIT($B$17,"" ""))"),0.225524475524476)</f>
        <v>0.2255244755</v>
      </c>
      <c r="F18" s="6" t="n">
        <v>3</v>
      </c>
      <c r="G18" s="6" t="n">
        <v>2</v>
      </c>
      <c r="H18" s="6" t="n">
        <v>3</v>
      </c>
      <c r="I18" s="6" t="n">
        <v>3</v>
      </c>
      <c r="J18" s="6" t="n">
        <v>5</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60"/>
      <c r="B19" s="60"/>
      <c r="C19" s="6" t="s">
        <v>8</v>
      </c>
      <c r="D19" s="49" t="s">
        <v>205</v>
      </c>
      <c r="E19" s="91" t="n">
        <f aca="false">IFERROR(__xludf.dummyfunction("COUNTA(SPLIT(D19,"" ""))/COUNTA(SPLIT($B$17,"" ""))"),0.204545454545455)</f>
        <v>0.2045454545</v>
      </c>
      <c r="F19" s="6" t="n">
        <v>3</v>
      </c>
      <c r="G19" s="6" t="n">
        <v>4</v>
      </c>
      <c r="H19" s="6" t="n">
        <v>4</v>
      </c>
      <c r="I19" s="6" t="n">
        <v>5</v>
      </c>
      <c r="J19" s="6"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60"/>
      <c r="B20" s="60"/>
      <c r="C20" s="6" t="s">
        <v>20</v>
      </c>
      <c r="D20" s="80" t="s">
        <v>206</v>
      </c>
      <c r="E20" s="96" t="n">
        <f aca="false">IFERROR(__xludf.dummyfunction("COUNTA(SPLIT(D20,"" ""))/COUNTA(SPLIT($B$17,"" ""))"),0.223776223776224)</f>
        <v>0.2237762238</v>
      </c>
      <c r="F20" s="6" t="n">
        <v>5</v>
      </c>
      <c r="G20" s="6" t="n">
        <v>4</v>
      </c>
      <c r="H20" s="6" t="n">
        <v>3</v>
      </c>
      <c r="I20" s="6" t="n">
        <v>4</v>
      </c>
      <c r="J20" s="6" t="n">
        <v>5</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60" t="s">
        <v>47</v>
      </c>
      <c r="B22" s="55" t="s">
        <v>48</v>
      </c>
      <c r="C22" s="56" t="s">
        <v>18</v>
      </c>
      <c r="D22" s="63" t="s">
        <v>207</v>
      </c>
      <c r="E22" s="97" t="n">
        <f aca="false">IFERROR(__xludf.dummyfunction("COUNTA(SPLIT(D22,"" ""))/COUNTA(SPLIT($B$22,"" ""))"),0.134408602150538)</f>
        <v>0.1344086022</v>
      </c>
      <c r="F22" s="56" t="n">
        <v>3</v>
      </c>
      <c r="G22" s="56" t="n">
        <v>3</v>
      </c>
      <c r="H22" s="56" t="n">
        <v>4</v>
      </c>
      <c r="I22" s="56" t="n">
        <v>4</v>
      </c>
      <c r="J22" s="56" t="n">
        <v>3</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60"/>
      <c r="B23" s="60"/>
      <c r="C23" s="6" t="s">
        <v>19</v>
      </c>
      <c r="D23" s="80" t="s">
        <v>208</v>
      </c>
      <c r="E23" s="98" t="n">
        <f aca="false">IFERROR(__xludf.dummyfunction("COUNTA(SPLIT(D23,"" ""))/COUNTA(SPLIT($B$22,"" ""))"),0.197132616487455)</f>
        <v>0.1971326165</v>
      </c>
      <c r="F23" s="6" t="n">
        <v>3</v>
      </c>
      <c r="G23" s="6" t="n">
        <v>4</v>
      </c>
      <c r="H23" s="6" t="n">
        <v>5</v>
      </c>
      <c r="I23" s="6" t="n">
        <v>4</v>
      </c>
      <c r="J23" s="6" t="n">
        <v>3</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60"/>
      <c r="B24" s="60"/>
      <c r="C24" s="6" t="s">
        <v>8</v>
      </c>
      <c r="D24" s="49" t="s">
        <v>209</v>
      </c>
      <c r="E24" s="99" t="n">
        <f aca="false">IFERROR(__xludf.dummyfunction("COUNTA(SPLIT(D24,"" ""))/COUNTA(SPLIT($B$22,"" ""))"),0.193548387096774)</f>
        <v>0.1935483871</v>
      </c>
      <c r="F24" s="6" t="n">
        <v>3</v>
      </c>
      <c r="G24" s="6" t="n">
        <v>5</v>
      </c>
      <c r="H24" s="6" t="n">
        <v>5</v>
      </c>
      <c r="I24" s="6" t="n">
        <v>4</v>
      </c>
      <c r="J24" s="6" t="n">
        <v>5</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60"/>
      <c r="B25" s="60"/>
      <c r="C25" s="6" t="s">
        <v>20</v>
      </c>
      <c r="D25" s="49" t="s">
        <v>210</v>
      </c>
      <c r="E25" s="73" t="n">
        <f aca="false">IFERROR(__xludf.dummyfunction("COUNTA(SPLIT(D25,"" ""))/COUNTA(SPLIT($B$22,"" ""))"),0.146953405017921)</f>
        <v>0.146953405</v>
      </c>
      <c r="F25" s="6" t="n">
        <v>4</v>
      </c>
      <c r="G25" s="6" t="n">
        <v>3</v>
      </c>
      <c r="H25" s="6" t="n">
        <v>4</v>
      </c>
      <c r="I25" s="6" t="n">
        <v>5</v>
      </c>
      <c r="J25" s="6" t="n">
        <v>3</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18</v>
      </c>
      <c r="D27" s="63" t="s">
        <v>211</v>
      </c>
      <c r="E27" s="102" t="n">
        <f aca="false">IFERROR(__xludf.dummyfunction("COUNTA(SPLIT(D27,"" ""))/COUNTA(SPLIT($B$27,"" ""))"),0.437956204379562)</f>
        <v>0.4379562044</v>
      </c>
      <c r="F27" s="56" t="n">
        <v>5</v>
      </c>
      <c r="G27" s="56" t="n">
        <v>5</v>
      </c>
      <c r="H27" s="56" t="n">
        <v>4</v>
      </c>
      <c r="I27" s="56" t="n">
        <v>5</v>
      </c>
      <c r="J27" s="56" t="n">
        <v>4</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49" t="s">
        <v>212</v>
      </c>
      <c r="E28" s="103" t="n">
        <f aca="false">IFERROR(__xludf.dummyfunction("COUNTA(SPLIT(D28,"" ""))/COUNTA(SPLIT($B$27,"" ""))"),0.554744525547445)</f>
        <v>0.5547445255</v>
      </c>
      <c r="F28" s="6" t="n">
        <v>3</v>
      </c>
      <c r="G28" s="6" t="n">
        <v>5</v>
      </c>
      <c r="H28" s="6" t="n">
        <v>5</v>
      </c>
      <c r="I28" s="6" t="n">
        <v>3</v>
      </c>
      <c r="J28" s="6" t="n">
        <v>4</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213</v>
      </c>
      <c r="E29" s="96" t="n">
        <f aca="false">IFERROR(__xludf.dummyfunction("COUNTA(SPLIT(D29,"" ""))/COUNTA(SPLIT($B$27,"" ""))"),0.547445255474453)</f>
        <v>0.5474452555</v>
      </c>
      <c r="F29" s="6" t="n">
        <v>3</v>
      </c>
      <c r="G29" s="6" t="n">
        <v>5</v>
      </c>
      <c r="H29" s="6" t="n">
        <v>4</v>
      </c>
      <c r="I29" s="6" t="n">
        <v>4</v>
      </c>
      <c r="J29" s="6" t="n">
        <v>5</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214</v>
      </c>
      <c r="E30" s="104" t="n">
        <f aca="false">IFERROR(__xludf.dummyfunction("COUNTA(SPLIT(D30,"" ""))/COUNTA(SPLIT($B$27,"" ""))"),0.532846715328467)</f>
        <v>0.5328467153</v>
      </c>
      <c r="F30" s="6" t="n">
        <v>4</v>
      </c>
      <c r="G30" s="6" t="n">
        <v>5</v>
      </c>
      <c r="H30" s="6" t="n">
        <v>3</v>
      </c>
      <c r="I30" s="6" t="n">
        <v>5</v>
      </c>
      <c r="J30" s="6" t="n">
        <v>4</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63" t="s">
        <v>215</v>
      </c>
      <c r="E32" s="72" t="n">
        <f aca="false">IFERROR(__xludf.dummyfunction("COUNTA(SPLIT(D32,"" ""))/COUNTA(SPLIT($B$32,"" ""))"),0.400871459694989)</f>
        <v>0.4008714597</v>
      </c>
      <c r="F32" s="56" t="n">
        <v>5</v>
      </c>
      <c r="G32" s="56" t="n">
        <v>5</v>
      </c>
      <c r="H32" s="56" t="n">
        <v>4</v>
      </c>
      <c r="I32" s="56" t="n">
        <v>3</v>
      </c>
      <c r="J32" s="56" t="n">
        <v>5</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49" t="s">
        <v>216</v>
      </c>
      <c r="E33" s="105" t="n">
        <f aca="false">IFERROR(__xludf.dummyfunction("COUNTA(SPLIT(D33,"" ""))/COUNTA(SPLIT($B$32,"" ""))"),0.191721132897603)</f>
        <v>0.1917211329</v>
      </c>
      <c r="F33" s="6" t="n">
        <v>3</v>
      </c>
      <c r="G33" s="6" t="n">
        <v>5</v>
      </c>
      <c r="H33" s="6" t="n">
        <v>5</v>
      </c>
      <c r="I33" s="6" t="n">
        <v>3</v>
      </c>
      <c r="J33" s="6" t="n">
        <v>3</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69"/>
      <c r="C34" s="6" t="s">
        <v>8</v>
      </c>
      <c r="D34" s="49" t="s">
        <v>217</v>
      </c>
      <c r="E34" s="106" t="n">
        <f aca="false">IFERROR(__xludf.dummyfunction("COUNTA(SPLIT(D34,"" ""))/COUNTA(SPLIT($B$32,"" ""))"),0.352941176470588)</f>
        <v>0.3529411765</v>
      </c>
      <c r="F34" s="6" t="n">
        <v>3</v>
      </c>
      <c r="G34" s="6" t="n">
        <v>5</v>
      </c>
      <c r="H34" s="6" t="n">
        <v>3</v>
      </c>
      <c r="I34" s="6" t="n">
        <v>3</v>
      </c>
      <c r="J34" s="6" t="n">
        <v>4</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69"/>
      <c r="C35" s="6" t="s">
        <v>20</v>
      </c>
      <c r="D35" s="49" t="s">
        <v>218</v>
      </c>
      <c r="E35" s="67" t="n">
        <f aca="false">IFERROR(__xludf.dummyfunction("COUNTA(SPLIT(D35,"" ""))/COUNTA(SPLIT($B$32,"" ""))"),0.119825708061002)</f>
        <v>0.1198257081</v>
      </c>
      <c r="F35" s="6" t="n">
        <v>5</v>
      </c>
      <c r="G35" s="6" t="n">
        <v>5</v>
      </c>
      <c r="H35" s="6" t="n">
        <v>4</v>
      </c>
      <c r="I35" s="6" t="n">
        <v>5</v>
      </c>
      <c r="J35" s="6" t="n">
        <v>3</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59</v>
      </c>
      <c r="B37" s="55" t="s">
        <v>60</v>
      </c>
      <c r="C37" s="56" t="s">
        <v>18</v>
      </c>
      <c r="D37" s="63" t="s">
        <v>219</v>
      </c>
      <c r="E37" s="81" t="n">
        <f aca="false">IFERROR(__xludf.dummyfunction("COUNTA(SPLIT(D37,"" ""))/COUNTA(SPLIT($B$37,"" ""))"),0.391304347826087)</f>
        <v>0.3913043478</v>
      </c>
      <c r="F37" s="56" t="n">
        <v>4</v>
      </c>
      <c r="G37" s="56" t="n">
        <v>5</v>
      </c>
      <c r="H37" s="56" t="n">
        <v>4</v>
      </c>
      <c r="I37" s="56" t="n">
        <v>5</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6" t="s">
        <v>19</v>
      </c>
      <c r="D38" s="49" t="s">
        <v>220</v>
      </c>
      <c r="E38" s="107" t="n">
        <f aca="false">IFERROR(__xludf.dummyfunction("COUNTA(SPLIT(D38,"" ""))/COUNTA(SPLIT($B$37,"" ""))"),0.385093167701863)</f>
        <v>0.3850931677</v>
      </c>
      <c r="F38" s="6" t="n">
        <v>4</v>
      </c>
      <c r="G38" s="6" t="n">
        <v>3</v>
      </c>
      <c r="H38" s="6" t="n">
        <v>4</v>
      </c>
      <c r="I38" s="6" t="n">
        <v>5</v>
      </c>
      <c r="J38" s="6" t="n">
        <v>5</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6" t="s">
        <v>8</v>
      </c>
      <c r="D39" s="49" t="s">
        <v>221</v>
      </c>
      <c r="E39" s="93" t="n">
        <f aca="false">IFERROR(__xludf.dummyfunction("COUNTA(SPLIT(D39,"" ""))/COUNTA(SPLIT($B$37,"" ""))"),0.279503105590062)</f>
        <v>0.2795031056</v>
      </c>
      <c r="F39" s="6" t="n">
        <v>3</v>
      </c>
      <c r="G39" s="6" t="n">
        <v>5</v>
      </c>
      <c r="H39" s="6" t="n">
        <v>4</v>
      </c>
      <c r="I39" s="6" t="n">
        <v>5</v>
      </c>
      <c r="J39" s="6" t="n">
        <v>5</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6" t="s">
        <v>20</v>
      </c>
      <c r="D40" s="49" t="s">
        <v>222</v>
      </c>
      <c r="E40" s="84" t="n">
        <f aca="false">IFERROR(__xludf.dummyfunction("COUNTA(SPLIT(D40,"" ""))/COUNTA(SPLIT($B$37,"" ""))"),0.416149068322981)</f>
        <v>0.4161490683</v>
      </c>
      <c r="F40" s="6" t="n">
        <v>4</v>
      </c>
      <c r="G40" s="6" t="n">
        <v>5</v>
      </c>
      <c r="H40" s="6" t="n">
        <v>3</v>
      </c>
      <c r="I40" s="6" t="n">
        <v>5</v>
      </c>
      <c r="J40" s="6" t="n">
        <v>5</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116" t="s">
        <v>223</v>
      </c>
      <c r="E42" s="81" t="n">
        <f aca="false">IFERROR(__xludf.dummyfunction("COUNTA(SPLIT(D42,"" ""))/COUNTA(SPLIT($B$42,"" ""))"),0.181240063593005)</f>
        <v>0.1812400636</v>
      </c>
      <c r="F42" s="56" t="n">
        <v>4</v>
      </c>
      <c r="G42" s="56" t="n">
        <v>3</v>
      </c>
      <c r="H42" s="56" t="n">
        <v>4</v>
      </c>
      <c r="I42" s="56" t="n">
        <v>4</v>
      </c>
      <c r="J42" s="56" t="n">
        <v>5</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49" t="s">
        <v>224</v>
      </c>
      <c r="E43" s="81" t="n">
        <f aca="false">IFERROR(__xludf.dummyfunction("COUNTA(SPLIT(D43,"" ""))/COUNTA(SPLIT($B$42,"" ""))"),0.146263910969793)</f>
        <v>0.146263911</v>
      </c>
      <c r="F43" s="6" t="n">
        <v>3</v>
      </c>
      <c r="G43" s="6" t="n">
        <v>5</v>
      </c>
      <c r="H43" s="6" t="n">
        <v>5</v>
      </c>
      <c r="I43" s="6" t="n">
        <v>3</v>
      </c>
      <c r="J43" s="6" t="n">
        <v>4</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225</v>
      </c>
      <c r="E44" s="108" t="n">
        <f aca="false">IFERROR(__xludf.dummyfunction("COUNTA(SPLIT(D44,"" ""))/COUNTA(SPLIT($B$42,"" ""))"),0.124006359300477)</f>
        <v>0.1240063593</v>
      </c>
      <c r="F44" s="6" t="n">
        <v>3</v>
      </c>
      <c r="G44" s="6" t="n">
        <v>5</v>
      </c>
      <c r="H44" s="6" t="n">
        <v>4</v>
      </c>
      <c r="I44" s="6" t="n">
        <v>3</v>
      </c>
      <c r="J44" s="6" t="n">
        <v>5</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226</v>
      </c>
      <c r="E45" s="104" t="n">
        <f aca="false">IFERROR(__xludf.dummyfunction("COUNTA(SPLIT(D45,"" ""))/COUNTA(SPLIT($B$42,"" ""))"),0.12241653418124)</f>
        <v>0.1224165342</v>
      </c>
      <c r="F45" s="6" t="n">
        <v>4</v>
      </c>
      <c r="G45" s="6" t="n">
        <v>4</v>
      </c>
      <c r="H45" s="6" t="n">
        <v>5</v>
      </c>
      <c r="I45" s="6" t="n">
        <v>4</v>
      </c>
      <c r="J45" s="6" t="n">
        <v>3</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63" t="s">
        <v>227</v>
      </c>
      <c r="E47" s="109" t="n">
        <f aca="false">IFERROR(__xludf.dummyfunction("COUNTA(SPLIT(D47,"" ""))/COUNTA(SPLIT($B$47,"" ""))"),0.152091254752852)</f>
        <v>0.1520912548</v>
      </c>
      <c r="F47" s="56" t="n">
        <v>4</v>
      </c>
      <c r="G47" s="56" t="n">
        <v>5</v>
      </c>
      <c r="H47" s="56" t="n">
        <v>3</v>
      </c>
      <c r="I47" s="56" t="n">
        <v>5</v>
      </c>
      <c r="J47" s="56" t="n">
        <v>4</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49" t="s">
        <v>228</v>
      </c>
      <c r="E48" s="77" t="n">
        <f aca="false">IFERROR(__xludf.dummyfunction("COUNTA(SPLIT(D48,"" ""))/COUNTA(SPLIT($B$47,"" ""))"),0.321292775665399)</f>
        <v>0.3212927757</v>
      </c>
      <c r="F48" s="6" t="n">
        <v>5</v>
      </c>
      <c r="G48" s="6" t="n">
        <v>5</v>
      </c>
      <c r="H48" s="6" t="n">
        <v>3</v>
      </c>
      <c r="I48" s="6" t="n">
        <v>3</v>
      </c>
      <c r="J48" s="6" t="n">
        <v>5</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229</v>
      </c>
      <c r="E49" s="78" t="n">
        <f aca="false">IFERROR(__xludf.dummyfunction("COUNTA(SPLIT(D49,"" ""))/COUNTA(SPLIT($B$47,"" ""))"),0.249049429657795)</f>
        <v>0.2490494297</v>
      </c>
      <c r="F49" s="6" t="n">
        <v>2</v>
      </c>
      <c r="G49" s="6" t="n">
        <v>5</v>
      </c>
      <c r="H49" s="6" t="n">
        <v>5</v>
      </c>
      <c r="I49" s="6" t="n">
        <v>3</v>
      </c>
      <c r="J49" s="6" t="n">
        <v>4</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230</v>
      </c>
      <c r="E50" s="79" t="n">
        <f aca="false">IFERROR(__xludf.dummyfunction("COUNTA(SPLIT(D50,"" ""))/COUNTA(SPLIT($B$47,"" ""))"),0.140684410646388)</f>
        <v>0.1406844106</v>
      </c>
      <c r="F50" s="6" t="n">
        <v>4</v>
      </c>
      <c r="G50" s="6" t="n">
        <v>5</v>
      </c>
      <c r="H50" s="6" t="n">
        <v>3</v>
      </c>
      <c r="I50" s="6" t="n">
        <v>5</v>
      </c>
      <c r="J50" s="6" t="n">
        <v>5</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6"/>
      <c r="B52" s="55"/>
      <c r="C52" s="56" t="s">
        <v>18</v>
      </c>
      <c r="D52" s="63"/>
      <c r="E52" s="75" t="n">
        <f aca="false">IFERROR(__xludf.dummyfunction("COUNTA(SPLIT(D52,"" ""))/COUNTA(SPLIT($B$47,"" ""))"),0.00190114068441065)</f>
        <v>0.001901140684</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6"/>
      <c r="B53" s="76"/>
      <c r="C53" s="6" t="s">
        <v>19</v>
      </c>
      <c r="D53" s="49"/>
      <c r="E53" s="77" t="n">
        <f aca="false">IFERROR(__xludf.dummyfunction("COUNTA(SPLIT(D53,"" ""))/COUNTA(SPLIT($B$47,"" ""))"),0.00190114068441065)</f>
        <v>0.001901140684</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6"/>
      <c r="B54" s="76"/>
      <c r="C54" s="6" t="s">
        <v>8</v>
      </c>
      <c r="D54" s="49"/>
      <c r="E54" s="78" t="n">
        <f aca="false">IFERROR(__xludf.dummyfunction("COUNTA(SPLIT(D54,"" ""))/COUNTA(SPLIT($B$47,"" ""))"),0.00190114068441065)</f>
        <v>0.001901140684</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6"/>
      <c r="B55" s="76"/>
      <c r="C55" s="6" t="s">
        <v>20</v>
      </c>
      <c r="D55" s="49"/>
      <c r="E55" s="79" t="n">
        <f aca="false">IFERROR(__xludf.dummyfunction("COUNTA(SPLIT(D55,"" ""))/COUNTA(SPLIT($B$47,"" ""))"),0.00190114068441065)</f>
        <v>0.001901140684</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6"/>
      <c r="B57" s="55"/>
      <c r="C57" s="56" t="s">
        <v>18</v>
      </c>
      <c r="D57" s="63"/>
      <c r="E57" s="75" t="n">
        <f aca="false">IFERROR(__xludf.dummyfunction("COUNTA(SPLIT(D57,"" ""))/COUNTA(SPLIT($B$47,"" ""))"),0.00190114068441065)</f>
        <v>0.001901140684</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6"/>
      <c r="B58" s="76"/>
      <c r="C58" s="6" t="s">
        <v>19</v>
      </c>
      <c r="D58" s="49"/>
      <c r="E58" s="77" t="n">
        <f aca="false">IFERROR(__xludf.dummyfunction("COUNTA(SPLIT(D58,"" ""))/COUNTA(SPLIT($B$47,"" ""))"),0.00190114068441065)</f>
        <v>0.001901140684</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6"/>
      <c r="B59" s="76"/>
      <c r="C59" s="6" t="s">
        <v>8</v>
      </c>
      <c r="D59" s="49"/>
      <c r="E59" s="78" t="n">
        <f aca="false">IFERROR(__xludf.dummyfunction("COUNTA(SPLIT(D59,"" ""))/COUNTA(SPLIT($B$47,"" ""))"),0.00190114068441065)</f>
        <v>0.001901140684</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6"/>
      <c r="B60" s="76"/>
      <c r="C60" s="6" t="s">
        <v>20</v>
      </c>
      <c r="D60" s="49"/>
      <c r="E60" s="79" t="n">
        <f aca="false">IFERROR(__xludf.dummyfunction("COUNTA(SPLIT(D60,"" ""))/COUNTA(SPLIT($B$47,"" ""))"),0.00190114068441065)</f>
        <v>0.001901140684</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6"/>
      <c r="B62" s="55"/>
      <c r="C62" s="56" t="s">
        <v>18</v>
      </c>
      <c r="D62" s="63"/>
      <c r="E62" s="75" t="n">
        <f aca="false">IFERROR(__xludf.dummyfunction("COUNTA(SPLIT(D62,"" ""))/COUNTA(SPLIT($B$47,"" ""))"),0.00190114068441065)</f>
        <v>0.001901140684</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6"/>
      <c r="B63" s="76"/>
      <c r="C63" s="6" t="s">
        <v>19</v>
      </c>
      <c r="D63" s="49"/>
      <c r="E63" s="77" t="n">
        <f aca="false">IFERROR(__xludf.dummyfunction("COUNTA(SPLIT(D63,"" ""))/COUNTA(SPLIT($B$47,"" ""))"),0.00190114068441065)</f>
        <v>0.001901140684</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6"/>
      <c r="B64" s="76"/>
      <c r="C64" s="6" t="s">
        <v>8</v>
      </c>
      <c r="D64" s="49"/>
      <c r="E64" s="78" t="n">
        <f aca="false">IFERROR(__xludf.dummyfunction("COUNTA(SPLIT(D64,"" ""))/COUNTA(SPLIT($B$47,"" ""))"),0.00190114068441065)</f>
        <v>0.001901140684</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6"/>
      <c r="B65" s="76"/>
      <c r="C65" s="6" t="s">
        <v>20</v>
      </c>
      <c r="D65" s="49"/>
      <c r="E65" s="79" t="n">
        <f aca="false">IFERROR(__xludf.dummyfunction("COUNTA(SPLIT(D65,"" ""))/COUNTA(SPLIT($B$47,"" ""))"),0.00190114068441065)</f>
        <v>0.001901140684</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6"/>
      <c r="B67" s="55"/>
      <c r="C67" s="56" t="s">
        <v>18</v>
      </c>
      <c r="D67" s="63"/>
      <c r="E67" s="75" t="n">
        <f aca="false">IFERROR(__xludf.dummyfunction("COUNTA(SPLIT(D67,"" ""))/COUNTA(SPLIT($B$47,"" ""))"),0.00190114068441065)</f>
        <v>0.001901140684</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6"/>
      <c r="B68" s="76"/>
      <c r="C68" s="6" t="s">
        <v>19</v>
      </c>
      <c r="D68" s="49"/>
      <c r="E68" s="77" t="n">
        <f aca="false">IFERROR(__xludf.dummyfunction("COUNTA(SPLIT(D68,"" ""))/COUNTA(SPLIT($B$47,"" ""))"),0.00190114068441065)</f>
        <v>0.001901140684</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6"/>
      <c r="B69" s="76"/>
      <c r="C69" s="6" t="s">
        <v>8</v>
      </c>
      <c r="D69" s="49"/>
      <c r="E69" s="78" t="n">
        <f aca="false">IFERROR(__xludf.dummyfunction("COUNTA(SPLIT(D69,"" ""))/COUNTA(SPLIT($B$47,"" ""))"),0.00190114068441065)</f>
        <v>0.001901140684</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6"/>
      <c r="B70" s="76"/>
      <c r="C70" s="6" t="s">
        <v>20</v>
      </c>
      <c r="D70" s="49"/>
      <c r="E70" s="79" t="n">
        <f aca="false">IFERROR(__xludf.dummyfunction("COUNTA(SPLIT(D70,"" ""))/COUNTA(SPLIT($B$47,"" ""))"),0.00190114068441065)</f>
        <v>0.001901140684</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6"/>
      <c r="B72" s="55"/>
      <c r="C72" s="56" t="s">
        <v>18</v>
      </c>
      <c r="D72" s="63"/>
      <c r="E72" s="75" t="n">
        <f aca="false">IFERROR(__xludf.dummyfunction("COUNTA(SPLIT(D72,"" ""))/COUNTA(SPLIT($B$47,"" ""))"),0.00190114068441065)</f>
        <v>0.001901140684</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6"/>
      <c r="B73" s="76"/>
      <c r="C73" s="6" t="s">
        <v>19</v>
      </c>
      <c r="D73" s="49"/>
      <c r="E73" s="77" t="n">
        <f aca="false">IFERROR(__xludf.dummyfunction("COUNTA(SPLIT(D73,"" ""))/COUNTA(SPLIT($B$47,"" ""))"),0.00190114068441065)</f>
        <v>0.001901140684</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6"/>
      <c r="B74" s="76"/>
      <c r="C74" s="6" t="s">
        <v>8</v>
      </c>
      <c r="D74" s="49"/>
      <c r="E74" s="78" t="n">
        <f aca="false">IFERROR(__xludf.dummyfunction("COUNTA(SPLIT(D74,"" ""))/COUNTA(SPLIT($B$47,"" ""))"),0.00190114068441065)</f>
        <v>0.001901140684</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6"/>
      <c r="B75" s="76"/>
      <c r="C75" s="6" t="s">
        <v>20</v>
      </c>
      <c r="D75" s="49"/>
      <c r="E75" s="79" t="n">
        <f aca="false">IFERROR(__xludf.dummyfunction("COUNTA(SPLIT(D75,"" ""))/COUNTA(SPLIT($B$47,"" ""))"),0.00190114068441065)</f>
        <v>0.001901140684</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6"/>
      <c r="B77" s="55"/>
      <c r="C77" s="56" t="s">
        <v>18</v>
      </c>
      <c r="D77" s="63"/>
      <c r="E77" s="75" t="n">
        <f aca="false">IFERROR(__xludf.dummyfunction("COUNTA(SPLIT(D77,"" ""))/COUNTA(SPLIT($B$47,"" ""))"),0.00190114068441065)</f>
        <v>0.001901140684</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6"/>
      <c r="B78" s="76"/>
      <c r="C78" s="6" t="s">
        <v>19</v>
      </c>
      <c r="D78" s="49"/>
      <c r="E78" s="77" t="n">
        <f aca="false">IFERROR(__xludf.dummyfunction("COUNTA(SPLIT(D78,"" ""))/COUNTA(SPLIT($B$47,"" ""))"),0.00190114068441065)</f>
        <v>0.001901140684</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6"/>
      <c r="B79" s="76"/>
      <c r="C79" s="6" t="s">
        <v>8</v>
      </c>
      <c r="D79" s="49"/>
      <c r="E79" s="78" t="n">
        <f aca="false">IFERROR(__xludf.dummyfunction("COUNTA(SPLIT(D79,"" ""))/COUNTA(SPLIT($B$47,"" ""))"),0.00190114068441065)</f>
        <v>0.001901140684</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6"/>
      <c r="B80" s="76"/>
      <c r="C80" s="6" t="s">
        <v>20</v>
      </c>
      <c r="D80" s="49"/>
      <c r="E80" s="79" t="n">
        <f aca="false">IFERROR(__xludf.dummyfunction("COUNTA(SPLIT(D80,"" ""))/COUNTA(SPLIT($B$47,"" ""))"),0.00190114068441065)</f>
        <v>0.001901140684</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6"/>
      <c r="B82" s="55"/>
      <c r="C82" s="56" t="s">
        <v>18</v>
      </c>
      <c r="D82" s="63"/>
      <c r="E82" s="75" t="n">
        <f aca="false">IFERROR(__xludf.dummyfunction("COUNTA(SPLIT(D82,"" ""))/COUNTA(SPLIT($B$47,"" ""))"),0.00190114068441065)</f>
        <v>0.001901140684</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6"/>
      <c r="B83" s="76"/>
      <c r="C83" s="6" t="s">
        <v>19</v>
      </c>
      <c r="D83" s="49"/>
      <c r="E83" s="77" t="n">
        <f aca="false">IFERROR(__xludf.dummyfunction("COUNTA(SPLIT(D83,"" ""))/COUNTA(SPLIT($B$47,"" ""))"),0.00190114068441065)</f>
        <v>0.001901140684</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6"/>
      <c r="B84" s="76"/>
      <c r="C84" s="6" t="s">
        <v>8</v>
      </c>
      <c r="D84" s="49"/>
      <c r="E84" s="78" t="n">
        <f aca="false">IFERROR(__xludf.dummyfunction("COUNTA(SPLIT(D84,"" ""))/COUNTA(SPLIT($B$47,"" ""))"),0.00190114068441065)</f>
        <v>0.001901140684</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6"/>
      <c r="B85" s="76"/>
      <c r="C85" s="6" t="s">
        <v>20</v>
      </c>
      <c r="D85" s="49"/>
      <c r="E85" s="79" t="n">
        <f aca="false">IFERROR(__xludf.dummyfunction("COUNTA(SPLIT(D85,"" ""))/COUNTA(SPLIT($B$47,"" ""))"),0.00190114068441065)</f>
        <v>0.001901140684</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6"/>
      <c r="B87" s="55"/>
      <c r="C87" s="56" t="s">
        <v>18</v>
      </c>
      <c r="D87" s="63"/>
      <c r="E87" s="75" t="n">
        <f aca="false">IFERROR(__xludf.dummyfunction("COUNTA(SPLIT(D87,"" ""))/COUNTA(SPLIT($B$47,"" ""))"),0.00190114068441065)</f>
        <v>0.001901140684</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6"/>
      <c r="B88" s="76"/>
      <c r="C88" s="6" t="s">
        <v>19</v>
      </c>
      <c r="D88" s="49"/>
      <c r="E88" s="77" t="n">
        <f aca="false">IFERROR(__xludf.dummyfunction("COUNTA(SPLIT(D88,"" ""))/COUNTA(SPLIT($B$47,"" ""))"),0.00190114068441065)</f>
        <v>0.001901140684</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6"/>
      <c r="B89" s="76"/>
      <c r="C89" s="6" t="s">
        <v>8</v>
      </c>
      <c r="D89" s="49"/>
      <c r="E89" s="78" t="n">
        <f aca="false">IFERROR(__xludf.dummyfunction("COUNTA(SPLIT(D89,"" ""))/COUNTA(SPLIT($B$47,"" ""))"),0.00190114068441065)</f>
        <v>0.001901140684</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6"/>
      <c r="B90" s="76"/>
      <c r="C90" s="6" t="s">
        <v>20</v>
      </c>
      <c r="D90" s="49"/>
      <c r="E90" s="79" t="n">
        <f aca="false">IFERROR(__xludf.dummyfunction("COUNTA(SPLIT(D90,"" ""))/COUNTA(SPLIT($B$47,"" ""))"),0.00190114068441065)</f>
        <v>0.001901140684</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6"/>
      <c r="B92" s="55"/>
      <c r="C92" s="56" t="s">
        <v>18</v>
      </c>
      <c r="D92" s="63"/>
      <c r="E92" s="75" t="n">
        <f aca="false">IFERROR(__xludf.dummyfunction("COUNTA(SPLIT(D92,"" ""))/COUNTA(SPLIT($B$47,"" ""))"),0.00190114068441065)</f>
        <v>0.001901140684</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6"/>
      <c r="B93" s="76"/>
      <c r="C93" s="6" t="s">
        <v>19</v>
      </c>
      <c r="D93" s="49"/>
      <c r="E93" s="77" t="n">
        <f aca="false">IFERROR(__xludf.dummyfunction("COUNTA(SPLIT(D93,"" ""))/COUNTA(SPLIT($B$47,"" ""))"),0.00190114068441065)</f>
        <v>0.001901140684</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6"/>
      <c r="B94" s="76"/>
      <c r="C94" s="6" t="s">
        <v>8</v>
      </c>
      <c r="D94" s="49"/>
      <c r="E94" s="78" t="n">
        <f aca="false">IFERROR(__xludf.dummyfunction("COUNTA(SPLIT(D94,"" ""))/COUNTA(SPLIT($B$47,"" ""))"),0.00190114068441065)</f>
        <v>0.001901140684</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6"/>
      <c r="B95" s="76"/>
      <c r="C95" s="6" t="s">
        <v>20</v>
      </c>
      <c r="D95" s="49"/>
      <c r="E95" s="79" t="n">
        <f aca="false">IFERROR(__xludf.dummyfunction("COUNTA(SPLIT(D95,"" ""))/COUNTA(SPLIT($B$47,"" ""))"),0.00190114068441065)</f>
        <v>0.001901140684</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6"/>
      <c r="B97" s="55"/>
      <c r="C97" s="56" t="s">
        <v>18</v>
      </c>
      <c r="D97" s="63"/>
      <c r="E97" s="75" t="n">
        <f aca="false">IFERROR(__xludf.dummyfunction("COUNTA(SPLIT(D97,"" ""))/COUNTA(SPLIT($B$47,"" ""))"),0.00190114068441065)</f>
        <v>0.001901140684</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6"/>
      <c r="B98" s="76"/>
      <c r="C98" s="6" t="s">
        <v>19</v>
      </c>
      <c r="D98" s="49"/>
      <c r="E98" s="77" t="n">
        <f aca="false">IFERROR(__xludf.dummyfunction("COUNTA(SPLIT(D98,"" ""))/COUNTA(SPLIT($B$47,"" ""))"),0.00190114068441065)</f>
        <v>0.001901140684</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6"/>
      <c r="B99" s="76"/>
      <c r="C99" s="6" t="s">
        <v>8</v>
      </c>
      <c r="D99" s="49"/>
      <c r="E99" s="78" t="n">
        <f aca="false">IFERROR(__xludf.dummyfunction("COUNTA(SPLIT(D99,"" ""))/COUNTA(SPLIT($B$47,"" ""))"),0.00190114068441065)</f>
        <v>0.001901140684</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6"/>
      <c r="B100" s="76"/>
      <c r="C100" s="6" t="s">
        <v>20</v>
      </c>
      <c r="D100" s="49"/>
      <c r="E100" s="79" t="n">
        <f aca="false">IFERROR(__xludf.dummyfunction("COUNTA(SPLIT(D100,"" ""))/COUNTA(SPLIT($B$47,"" ""))"),0.00190114068441065)</f>
        <v>0.001901140684</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6"/>
      <c r="B102" s="55"/>
      <c r="C102" s="56" t="s">
        <v>18</v>
      </c>
      <c r="D102" s="63"/>
      <c r="E102" s="75" t="n">
        <f aca="false">IFERROR(__xludf.dummyfunction("COUNTA(SPLIT(D102,"" ""))/COUNTA(SPLIT($B$47,"" ""))"),0.00190114068441065)</f>
        <v>0.001901140684</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6"/>
      <c r="B103" s="76"/>
      <c r="C103" s="6" t="s">
        <v>19</v>
      </c>
      <c r="D103" s="49"/>
      <c r="E103" s="77" t="n">
        <f aca="false">IFERROR(__xludf.dummyfunction("COUNTA(SPLIT(D103,"" ""))/COUNTA(SPLIT($B$47,"" ""))"),0.00190114068441065)</f>
        <v>0.001901140684</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6"/>
      <c r="B104" s="76"/>
      <c r="C104" s="6" t="s">
        <v>8</v>
      </c>
      <c r="D104" s="49"/>
      <c r="E104" s="78" t="n">
        <f aca="false">IFERROR(__xludf.dummyfunction("COUNTA(SPLIT(D104,"" ""))/COUNTA(SPLIT($B$47,"" ""))"),0.00190114068441065)</f>
        <v>0.001901140684</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6"/>
      <c r="B105" s="76"/>
      <c r="C105" s="6" t="s">
        <v>20</v>
      </c>
      <c r="D105" s="49"/>
      <c r="E105" s="79" t="n">
        <f aca="false">IFERROR(__xludf.dummyfunction("COUNTA(SPLIT(D105,"" ""))/COUNTA(SPLIT($B$47,"" ""))"),0.00190114068441065)</f>
        <v>0.001901140684</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6"/>
      <c r="B107" s="55"/>
      <c r="C107" s="56" t="s">
        <v>18</v>
      </c>
      <c r="D107" s="63"/>
      <c r="E107" s="75" t="n">
        <f aca="false">IFERROR(__xludf.dummyfunction("COUNTA(SPLIT(D107,"" ""))/COUNTA(SPLIT($B$47,"" ""))"),0.00190114068441065)</f>
        <v>0.001901140684</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6"/>
      <c r="B108" s="76"/>
      <c r="C108" s="6" t="s">
        <v>19</v>
      </c>
      <c r="D108" s="49"/>
      <c r="E108" s="77" t="n">
        <f aca="false">IFERROR(__xludf.dummyfunction("COUNTA(SPLIT(D108,"" ""))/COUNTA(SPLIT($B$47,"" ""))"),0.00190114068441065)</f>
        <v>0.001901140684</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6"/>
      <c r="B109" s="76"/>
      <c r="C109" s="6" t="s">
        <v>8</v>
      </c>
      <c r="D109" s="49"/>
      <c r="E109" s="78" t="n">
        <f aca="false">IFERROR(__xludf.dummyfunction("COUNTA(SPLIT(D109,"" ""))/COUNTA(SPLIT($B$47,"" ""))"),0.00190114068441065)</f>
        <v>0.001901140684</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6"/>
      <c r="B110" s="76"/>
      <c r="C110" s="6" t="s">
        <v>20</v>
      </c>
      <c r="D110" s="49"/>
      <c r="E110" s="79" t="n">
        <f aca="false">IFERROR(__xludf.dummyfunction("COUNTA(SPLIT(D110,"" ""))/COUNTA(SPLIT($B$47,"" ""))"),0.00190114068441065)</f>
        <v>0.001901140684</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6"/>
      <c r="B112" s="55"/>
      <c r="C112" s="56" t="s">
        <v>18</v>
      </c>
      <c r="D112" s="63"/>
      <c r="E112" s="75" t="n">
        <f aca="false">IFERROR(__xludf.dummyfunction("COUNTA(SPLIT(D112,"" ""))/COUNTA(SPLIT($B$47,"" ""))"),0.00190114068441065)</f>
        <v>0.001901140684</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6"/>
      <c r="B113" s="76"/>
      <c r="C113" s="6" t="s">
        <v>19</v>
      </c>
      <c r="D113" s="49"/>
      <c r="E113" s="77" t="n">
        <f aca="false">IFERROR(__xludf.dummyfunction("COUNTA(SPLIT(D113,"" ""))/COUNTA(SPLIT($B$47,"" ""))"),0.00190114068441065)</f>
        <v>0.001901140684</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6"/>
      <c r="B114" s="76"/>
      <c r="C114" s="6" t="s">
        <v>8</v>
      </c>
      <c r="D114" s="49"/>
      <c r="E114" s="78" t="n">
        <f aca="false">IFERROR(__xludf.dummyfunction("COUNTA(SPLIT(D114,"" ""))/COUNTA(SPLIT($B$47,"" ""))"),0.00190114068441065)</f>
        <v>0.001901140684</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6"/>
      <c r="B115" s="76"/>
      <c r="C115" s="6" t="s">
        <v>20</v>
      </c>
      <c r="D115" s="49"/>
      <c r="E115" s="79" t="n">
        <f aca="false">IFERROR(__xludf.dummyfunction("COUNTA(SPLIT(D115,"" ""))/COUNTA(SPLIT($B$47,"" ""))"),0.00190114068441065)</f>
        <v>0.001901140684</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6"/>
      <c r="B117" s="55"/>
      <c r="C117" s="56" t="s">
        <v>18</v>
      </c>
      <c r="D117" s="63"/>
      <c r="E117" s="75" t="n">
        <f aca="false">IFERROR(__xludf.dummyfunction("COUNTA(SPLIT(D117,"" ""))/COUNTA(SPLIT($B$47,"" ""))"),0.00190114068441065)</f>
        <v>0.001901140684</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6"/>
      <c r="B118" s="76"/>
      <c r="C118" s="6" t="s">
        <v>19</v>
      </c>
      <c r="D118" s="49"/>
      <c r="E118" s="77" t="n">
        <f aca="false">IFERROR(__xludf.dummyfunction("COUNTA(SPLIT(D118,"" ""))/COUNTA(SPLIT($B$47,"" ""))"),0.00190114068441065)</f>
        <v>0.001901140684</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6"/>
      <c r="B119" s="76"/>
      <c r="C119" s="6" t="s">
        <v>8</v>
      </c>
      <c r="D119" s="49"/>
      <c r="E119" s="78" t="n">
        <f aca="false">IFERROR(__xludf.dummyfunction("COUNTA(SPLIT(D119,"" ""))/COUNTA(SPLIT($B$47,"" ""))"),0.00190114068441065)</f>
        <v>0.001901140684</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6"/>
      <c r="B120" s="76"/>
      <c r="C120" s="6" t="s">
        <v>20</v>
      </c>
      <c r="D120" s="49"/>
      <c r="E120" s="79" t="n">
        <f aca="false">IFERROR(__xludf.dummyfunction("COUNTA(SPLIT(D120,"" ""))/COUNTA(SPLIT($B$47,"" ""))"),0.00190114068441065)</f>
        <v>0.001901140684</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6"/>
      <c r="B122" s="55"/>
      <c r="C122" s="56" t="s">
        <v>18</v>
      </c>
      <c r="D122" s="63"/>
      <c r="E122" s="75" t="n">
        <f aca="false">IFERROR(__xludf.dummyfunction("COUNTA(SPLIT(D122,"" ""))/COUNTA(SPLIT($B$47,"" ""))"),0.00190114068441065)</f>
        <v>0.001901140684</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6"/>
      <c r="B123" s="76"/>
      <c r="C123" s="6" t="s">
        <v>19</v>
      </c>
      <c r="D123" s="49"/>
      <c r="E123" s="77" t="n">
        <f aca="false">IFERROR(__xludf.dummyfunction("COUNTA(SPLIT(D123,"" ""))/COUNTA(SPLIT($B$47,"" ""))"),0.00190114068441065)</f>
        <v>0.001901140684</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6"/>
      <c r="B124" s="76"/>
      <c r="C124" s="6" t="s">
        <v>8</v>
      </c>
      <c r="D124" s="49"/>
      <c r="E124" s="78" t="n">
        <f aca="false">IFERROR(__xludf.dummyfunction("COUNTA(SPLIT(D124,"" ""))/COUNTA(SPLIT($B$47,"" ""))"),0.00190114068441065)</f>
        <v>0.001901140684</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6"/>
      <c r="B125" s="76"/>
      <c r="C125" s="6" t="s">
        <v>20</v>
      </c>
      <c r="D125" s="49"/>
      <c r="E125" s="79" t="n">
        <f aca="false">IFERROR(__xludf.dummyfunction("COUNTA(SPLIT(D125,"" ""))/COUNTA(SPLIT($B$47,"" ""))"),0.00190114068441065)</f>
        <v>0.001901140684</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6"/>
      <c r="B127" s="55"/>
      <c r="C127" s="56" t="s">
        <v>18</v>
      </c>
      <c r="D127" s="63"/>
      <c r="E127" s="75" t="n">
        <f aca="false">IFERROR(__xludf.dummyfunction("COUNTA(SPLIT(D127,"" ""))/COUNTA(SPLIT($B$47,"" ""))"),0.00190114068441065)</f>
        <v>0.001901140684</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6"/>
      <c r="B128" s="76"/>
      <c r="C128" s="6" t="s">
        <v>19</v>
      </c>
      <c r="D128" s="49"/>
      <c r="E128" s="77" t="n">
        <f aca="false">IFERROR(__xludf.dummyfunction("COUNTA(SPLIT(D128,"" ""))/COUNTA(SPLIT($B$47,"" ""))"),0.00190114068441065)</f>
        <v>0.001901140684</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6"/>
      <c r="B129" s="76"/>
      <c r="C129" s="6" t="s">
        <v>8</v>
      </c>
      <c r="D129" s="49"/>
      <c r="E129" s="78" t="n">
        <f aca="false">IFERROR(__xludf.dummyfunction("COUNTA(SPLIT(D129,"" ""))/COUNTA(SPLIT($B$47,"" ""))"),0.00190114068441065)</f>
        <v>0.001901140684</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6"/>
      <c r="B130" s="76"/>
      <c r="C130" s="6" t="s">
        <v>20</v>
      </c>
      <c r="D130" s="49"/>
      <c r="E130" s="79" t="n">
        <f aca="false">IFERROR(__xludf.dummyfunction("COUNTA(SPLIT(D130,"" ""))/COUNTA(SPLIT($B$47,"" ""))"),0.00190114068441065)</f>
        <v>0.001901140684</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6"/>
      <c r="B132" s="55"/>
      <c r="C132" s="56" t="s">
        <v>18</v>
      </c>
      <c r="D132" s="63"/>
      <c r="E132" s="75" t="n">
        <f aca="false">IFERROR(__xludf.dummyfunction("COUNTA(SPLIT(D132,"" ""))/COUNTA(SPLIT($B$47,"" ""))"),0.00190114068441065)</f>
        <v>0.001901140684</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6"/>
      <c r="B133" s="76"/>
      <c r="C133" s="6" t="s">
        <v>19</v>
      </c>
      <c r="D133" s="49"/>
      <c r="E133" s="77" t="n">
        <f aca="false">IFERROR(__xludf.dummyfunction("COUNTA(SPLIT(D133,"" ""))/COUNTA(SPLIT($B$47,"" ""))"),0.00190114068441065)</f>
        <v>0.001901140684</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6"/>
      <c r="B134" s="76"/>
      <c r="C134" s="6" t="s">
        <v>8</v>
      </c>
      <c r="D134" s="49"/>
      <c r="E134" s="78" t="n">
        <f aca="false">IFERROR(__xludf.dummyfunction("COUNTA(SPLIT(D134,"" ""))/COUNTA(SPLIT($B$47,"" ""))"),0.00190114068441065)</f>
        <v>0.001901140684</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6"/>
      <c r="B135" s="76"/>
      <c r="C135" s="6" t="s">
        <v>20</v>
      </c>
      <c r="D135" s="49"/>
      <c r="E135" s="79" t="n">
        <f aca="false">IFERROR(__xludf.dummyfunction("COUNTA(SPLIT(D135,"" ""))/COUNTA(SPLIT($B$47,"" ""))"),0.00190114068441065)</f>
        <v>0.001901140684</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6"/>
      <c r="B137" s="55"/>
      <c r="C137" s="56" t="s">
        <v>18</v>
      </c>
      <c r="D137" s="63"/>
      <c r="E137" s="75" t="n">
        <f aca="false">IFERROR(__xludf.dummyfunction("COUNTA(SPLIT(D137,"" ""))/COUNTA(SPLIT($B$47,"" ""))"),0.00190114068441065)</f>
        <v>0.001901140684</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6"/>
      <c r="B138" s="76"/>
      <c r="C138" s="6" t="s">
        <v>19</v>
      </c>
      <c r="D138" s="49"/>
      <c r="E138" s="77" t="n">
        <f aca="false">IFERROR(__xludf.dummyfunction("COUNTA(SPLIT(D138,"" ""))/COUNTA(SPLIT($B$47,"" ""))"),0.00190114068441065)</f>
        <v>0.001901140684</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6"/>
      <c r="B139" s="76"/>
      <c r="C139" s="6" t="s">
        <v>8</v>
      </c>
      <c r="D139" s="49"/>
      <c r="E139" s="78" t="n">
        <f aca="false">IFERROR(__xludf.dummyfunction("COUNTA(SPLIT(D139,"" ""))/COUNTA(SPLIT($B$47,"" ""))"),0.00190114068441065)</f>
        <v>0.001901140684</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6"/>
      <c r="B140" s="76"/>
      <c r="C140" s="6" t="s">
        <v>20</v>
      </c>
      <c r="D140" s="49"/>
      <c r="E140" s="79" t="n">
        <f aca="false">IFERROR(__xludf.dummyfunction("COUNTA(SPLIT(D140,"" ""))/COUNTA(SPLIT($B$47,"" ""))"),0.00190114068441065)</f>
        <v>0.001901140684</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6"/>
      <c r="B142" s="55"/>
      <c r="C142" s="56" t="s">
        <v>18</v>
      </c>
      <c r="D142" s="63"/>
      <c r="E142" s="75" t="n">
        <f aca="false">IFERROR(__xludf.dummyfunction("COUNTA(SPLIT(D142,"" ""))/COUNTA(SPLIT($B$47,"" ""))"),0.00190114068441065)</f>
        <v>0.001901140684</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6"/>
      <c r="B143" s="76"/>
      <c r="C143" s="6" t="s">
        <v>19</v>
      </c>
      <c r="D143" s="49"/>
      <c r="E143" s="77" t="n">
        <f aca="false">IFERROR(__xludf.dummyfunction("COUNTA(SPLIT(D143,"" ""))/COUNTA(SPLIT($B$47,"" ""))"),0.00190114068441065)</f>
        <v>0.001901140684</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6"/>
      <c r="B144" s="76"/>
      <c r="C144" s="6" t="s">
        <v>8</v>
      </c>
      <c r="D144" s="49"/>
      <c r="E144" s="78" t="n">
        <f aca="false">IFERROR(__xludf.dummyfunction("COUNTA(SPLIT(D144,"" ""))/COUNTA(SPLIT($B$47,"" ""))"),0.00190114068441065)</f>
        <v>0.001901140684</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6"/>
      <c r="B145" s="76"/>
      <c r="C145" s="6" t="s">
        <v>20</v>
      </c>
      <c r="D145" s="49"/>
      <c r="E145" s="79" t="n">
        <f aca="false">IFERROR(__xludf.dummyfunction("COUNTA(SPLIT(D145,"" ""))/COUNTA(SPLIT($B$47,"" ""))"),0.00190114068441065)</f>
        <v>0.001901140684</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6"/>
      <c r="B147" s="55"/>
      <c r="C147" s="56" t="s">
        <v>18</v>
      </c>
      <c r="D147" s="63"/>
      <c r="E147" s="75" t="n">
        <f aca="false">IFERROR(__xludf.dummyfunction("COUNTA(SPLIT(D147,"" ""))/COUNTA(SPLIT($B$47,"" ""))"),0.00190114068441065)</f>
        <v>0.001901140684</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6"/>
      <c r="B148" s="76"/>
      <c r="C148" s="6" t="s">
        <v>19</v>
      </c>
      <c r="D148" s="49"/>
      <c r="E148" s="77" t="n">
        <f aca="false">IFERROR(__xludf.dummyfunction("COUNTA(SPLIT(D148,"" ""))/COUNTA(SPLIT($B$47,"" ""))"),0.00190114068441065)</f>
        <v>0.001901140684</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6"/>
      <c r="B149" s="76"/>
      <c r="C149" s="6" t="s">
        <v>8</v>
      </c>
      <c r="D149" s="49"/>
      <c r="E149" s="78" t="n">
        <f aca="false">IFERROR(__xludf.dummyfunction("COUNTA(SPLIT(D149,"" ""))/COUNTA(SPLIT($B$47,"" ""))"),0.00190114068441065)</f>
        <v>0.001901140684</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6"/>
      <c r="B150" s="76"/>
      <c r="C150" s="6" t="s">
        <v>20</v>
      </c>
      <c r="D150" s="49"/>
      <c r="E150" s="79" t="n">
        <f aca="false">IFERROR(__xludf.dummyfunction("COUNTA(SPLIT(D150,"" ""))/COUNTA(SPLIT($B$47,"" ""))"),0.00190114068441065)</f>
        <v>0.001901140684</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6"/>
      <c r="B152" s="55"/>
      <c r="C152" s="56" t="s">
        <v>18</v>
      </c>
      <c r="D152" s="63"/>
      <c r="E152" s="75" t="n">
        <f aca="false">IFERROR(__xludf.dummyfunction("COUNTA(SPLIT(D152,"" ""))/COUNTA(SPLIT($B$47,"" ""))"),0.00190114068441065)</f>
        <v>0.001901140684</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6"/>
      <c r="B153" s="76"/>
      <c r="C153" s="6" t="s">
        <v>19</v>
      </c>
      <c r="D153" s="49"/>
      <c r="E153" s="77" t="n">
        <f aca="false">IFERROR(__xludf.dummyfunction("COUNTA(SPLIT(D153,"" ""))/COUNTA(SPLIT($B$47,"" ""))"),0.00190114068441065)</f>
        <v>0.001901140684</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6"/>
      <c r="B154" s="76"/>
      <c r="C154" s="6" t="s">
        <v>8</v>
      </c>
      <c r="D154" s="49"/>
      <c r="E154" s="78" t="n">
        <f aca="false">IFERROR(__xludf.dummyfunction("COUNTA(SPLIT(D154,"" ""))/COUNTA(SPLIT($B$47,"" ""))"),0.00190114068441065)</f>
        <v>0.001901140684</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6"/>
      <c r="B155" s="76"/>
      <c r="C155" s="6" t="s">
        <v>20</v>
      </c>
      <c r="D155" s="49"/>
      <c r="E155" s="79" t="n">
        <f aca="false">IFERROR(__xludf.dummyfunction("COUNTA(SPLIT(D155,"" ""))/COUNTA(SPLIT($B$47,"" ""))"),0.00190114068441065)</f>
        <v>0.001901140684</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6"/>
      <c r="B157" s="55"/>
      <c r="C157" s="56" t="s">
        <v>18</v>
      </c>
      <c r="D157" s="63"/>
      <c r="E157" s="75" t="n">
        <f aca="false">IFERROR(__xludf.dummyfunction("COUNTA(SPLIT(D157,"" ""))/COUNTA(SPLIT($B$47,"" ""))"),0.00190114068441065)</f>
        <v>0.001901140684</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6"/>
      <c r="B158" s="76"/>
      <c r="C158" s="6" t="s">
        <v>19</v>
      </c>
      <c r="D158" s="49"/>
      <c r="E158" s="77" t="n">
        <f aca="false">IFERROR(__xludf.dummyfunction("COUNTA(SPLIT(D158,"" ""))/COUNTA(SPLIT($B$47,"" ""))"),0.00190114068441065)</f>
        <v>0.001901140684</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6"/>
      <c r="B159" s="76"/>
      <c r="C159" s="6" t="s">
        <v>8</v>
      </c>
      <c r="D159" s="49"/>
      <c r="E159" s="78" t="n">
        <f aca="false">IFERROR(__xludf.dummyfunction("COUNTA(SPLIT(D159,"" ""))/COUNTA(SPLIT($B$47,"" ""))"),0.00190114068441065)</f>
        <v>0.001901140684</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6"/>
      <c r="B160" s="76"/>
      <c r="C160" s="6" t="s">
        <v>20</v>
      </c>
      <c r="D160" s="49"/>
      <c r="E160" s="79" t="n">
        <f aca="false">IFERROR(__xludf.dummyfunction("COUNTA(SPLIT(D160,"" ""))/COUNTA(SPLIT($B$47,"" ""))"),0.00190114068441065)</f>
        <v>0.001901140684</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6"/>
      <c r="B162" s="55"/>
      <c r="C162" s="56" t="s">
        <v>18</v>
      </c>
      <c r="D162" s="63"/>
      <c r="E162" s="75" t="n">
        <f aca="false">IFERROR(__xludf.dummyfunction("COUNTA(SPLIT(D162,"" ""))/COUNTA(SPLIT($B$47,"" ""))"),0.00190114068441065)</f>
        <v>0.001901140684</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6"/>
      <c r="B163" s="76"/>
      <c r="C163" s="6" t="s">
        <v>19</v>
      </c>
      <c r="D163" s="49"/>
      <c r="E163" s="77" t="n">
        <f aca="false">IFERROR(__xludf.dummyfunction("COUNTA(SPLIT(D163,"" ""))/COUNTA(SPLIT($B$47,"" ""))"),0.00190114068441065)</f>
        <v>0.001901140684</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6"/>
      <c r="B164" s="76"/>
      <c r="C164" s="6" t="s">
        <v>8</v>
      </c>
      <c r="D164" s="49"/>
      <c r="E164" s="78" t="n">
        <f aca="false">IFERROR(__xludf.dummyfunction("COUNTA(SPLIT(D164,"" ""))/COUNTA(SPLIT($B$47,"" ""))"),0.00190114068441065)</f>
        <v>0.001901140684</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6"/>
      <c r="B165" s="76"/>
      <c r="C165" s="6" t="s">
        <v>20</v>
      </c>
      <c r="D165" s="49"/>
      <c r="E165" s="79" t="n">
        <f aca="false">IFERROR(__xludf.dummyfunction("COUNTA(SPLIT(D165,"" ""))/COUNTA(SPLIT($B$47,"" ""))"),0.00190114068441065)</f>
        <v>0.001901140684</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3"/>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kirola/hau-badakit-egunen-batean-aterako-da-barruan-dudan-jokoa_2123931_102.html"/>
    <hyperlink ref="A7" r:id="rId3" display="https://www.berria.eus/ekonomia/kutxabankek-2116-euro-bideratu-zituen-karbono-gutxiko-proiektuak-finantzatzera_2120192_102.html"/>
    <hyperlink ref="A12" r:id="rId4" display="https://www.berria.eus/bizigiro/tradizioa-eta-abangoardia_2126379_102.html"/>
    <hyperlink ref="A17" r:id="rId5" display="https://www.berria.eus/mundua/nbek-43-mila-milioi-euro-eskatu-ditu-datorren-urtean-laguntza-humanitarioa-bermatzeko_2117704_102.html"/>
    <hyperlink ref="A22" r:id="rId6" display="https://www.berria.eus/kultura/umeak-amari-eman-dio-bidea_2124508_102.html"/>
    <hyperlink ref="A27" r:id="rId7" display="https://www.berria.eus/euskal-herria/pintaketa-faxistak-egin-dituzte-irunean_2124262_102.html"/>
    <hyperlink ref="A32" r:id="rId8" display="https://www.berria.eus/ekonomia/eolikoen-arlorako-laguntzetan-orain-halako-bi-jarriko-du-ebk-1400-milioi_1343992_102.html"/>
    <hyperlink ref="A37" r:id="rId9" display="https://www.berria.eus/kultura/itsasun-egingo-dute-irailekoak-poesia-jaialdia-aurten_2125293_102.html"/>
    <hyperlink ref="A42" r:id="rId10" display="https://www.berria.eus/kultura/nolabaiteko-kontrarreforma-bat-gertatzen-ari-da-eta-horren-aurrean-elkartu-beharra-daukagu_2124481_102.html"/>
    <hyperlink ref="A47" r:id="rId11" display="https://www.berria.eus/euskal-herria/ortuzarrek-dio-eajk-euskadiko-estatus-berriari-bultzada-eman-nahi-diola_2124257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67C73"/>
    <pageSetUpPr fitToPage="false"/>
  </sheetPr>
  <dimension ref="A1:A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52:A101 B3"/>
    </sheetView>
  </sheetViews>
  <sheetFormatPr defaultColWidth="12.6328125" defaultRowHeight="15.75" zeroHeight="false" outlineLevelRow="0" outlineLevelCol="0"/>
  <cols>
    <col collapsed="false" customWidth="true" hidden="false" outlineLevel="0" max="1" min="1" style="1" width="3"/>
    <col collapsed="false" customWidth="true" hidden="false" outlineLevel="0" max="2" min="2" style="1" width="63.88"/>
    <col collapsed="false" customWidth="true" hidden="false" outlineLevel="0" max="4" min="4" style="1" width="77"/>
    <col collapsed="false" customWidth="true" hidden="false" outlineLevel="0" max="5" min="5" style="1" width="5.75"/>
  </cols>
  <sheetData>
    <row r="1" customFormat="false" ht="15.75" hidden="false" customHeight="false" outlineLevel="0" collapsed="false">
      <c r="A1" s="3" t="s">
        <v>0</v>
      </c>
      <c r="B1" s="3" t="s">
        <v>27</v>
      </c>
      <c r="C1" s="3" t="s">
        <v>2</v>
      </c>
      <c r="D1" s="45" t="s">
        <v>29</v>
      </c>
      <c r="E1" s="46" t="s">
        <v>3</v>
      </c>
      <c r="F1" s="3" t="s">
        <v>4</v>
      </c>
      <c r="G1" s="3" t="s">
        <v>5</v>
      </c>
      <c r="H1" s="3" t="s">
        <v>6</v>
      </c>
      <c r="I1" s="3" t="s">
        <v>7</v>
      </c>
      <c r="J1" s="3" t="s">
        <v>8</v>
      </c>
      <c r="K1" s="3"/>
      <c r="L1" s="3"/>
      <c r="M1" s="3"/>
      <c r="N1" s="3"/>
      <c r="O1" s="3"/>
      <c r="P1" s="3"/>
      <c r="Q1" s="3"/>
      <c r="R1" s="3"/>
      <c r="S1" s="3"/>
      <c r="T1" s="3"/>
      <c r="U1" s="3"/>
      <c r="V1" s="3"/>
      <c r="W1" s="3"/>
      <c r="X1" s="3"/>
      <c r="Y1" s="3"/>
      <c r="Z1" s="3"/>
      <c r="AA1" s="3"/>
      <c r="AB1" s="3"/>
    </row>
    <row r="2" customFormat="false" ht="225" hidden="false" customHeight="true" outlineLevel="0" collapsed="false">
      <c r="A2" s="47" t="s">
        <v>30</v>
      </c>
      <c r="B2" s="48" t="s">
        <v>31</v>
      </c>
      <c r="C2" s="6" t="s">
        <v>18</v>
      </c>
      <c r="D2" s="82" t="s">
        <v>231</v>
      </c>
      <c r="E2" s="77" t="n">
        <f aca="false">IFERROR(__xludf.dummyfunction("COUNTA(SPLIT(D2,"" ""))/COUNTA(SPLIT($B$2,"" ""))"),0.343409915356711)</f>
        <v>0.3434099154</v>
      </c>
      <c r="F2" s="6" t="n">
        <v>2</v>
      </c>
      <c r="G2" s="6" t="n">
        <v>3</v>
      </c>
      <c r="H2" s="6" t="n">
        <v>3</v>
      </c>
      <c r="I2" s="6" t="n">
        <v>3</v>
      </c>
      <c r="J2" s="6" t="n">
        <v>3</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6" t="s">
        <v>19</v>
      </c>
      <c r="D3" s="82" t="s">
        <v>232</v>
      </c>
      <c r="E3" s="81" t="n">
        <f aca="false">IFERROR(__xludf.dummyfunction("COUNTA(SPLIT(D3,"" ""))/COUNTA(SPLIT($B$2,"" ""))"),0.0737605804111245)</f>
        <v>0.07376058041</v>
      </c>
      <c r="F3" s="6" t="n">
        <v>4</v>
      </c>
      <c r="G3" s="6" t="n">
        <v>4</v>
      </c>
      <c r="H3" s="6" t="n">
        <v>3</v>
      </c>
      <c r="I3" s="6" t="n">
        <v>3</v>
      </c>
      <c r="J3" s="6" t="n">
        <v>2</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6" t="s">
        <v>8</v>
      </c>
      <c r="D4" s="82" t="s">
        <v>233</v>
      </c>
      <c r="E4" s="83" t="n">
        <f aca="false">IFERROR(__xludf.dummyfunction("COUNTA(SPLIT(D4,"" ""))/COUNTA(SPLIT($B$2,"" ""))"),0.0725513905683192)</f>
        <v>0.07255139057</v>
      </c>
      <c r="F4" s="6" t="n">
        <v>3</v>
      </c>
      <c r="G4" s="6" t="n">
        <v>5</v>
      </c>
      <c r="H4" s="6" t="n">
        <v>4</v>
      </c>
      <c r="I4" s="6" t="n">
        <v>4</v>
      </c>
      <c r="J4" s="6" t="n">
        <v>4</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6" t="s">
        <v>20</v>
      </c>
      <c r="D5" s="82" t="s">
        <v>234</v>
      </c>
      <c r="E5" s="84" t="n">
        <f aca="false">IFERROR(__xludf.dummyfunction("COUNTA(SPLIT(D5,"" ""))/COUNTA(SPLIT($B$2,"" ""))"),0.130592503022975)</f>
        <v>0.130592503</v>
      </c>
      <c r="F5" s="6" t="n">
        <v>4</v>
      </c>
      <c r="G5" s="6" t="n">
        <v>4</v>
      </c>
      <c r="H5" s="6" t="n">
        <v>3</v>
      </c>
      <c r="I5" s="6" t="n">
        <v>5</v>
      </c>
      <c r="J5" s="6" t="n">
        <v>3</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6"/>
      <c r="D6" s="49"/>
      <c r="E6" s="53"/>
      <c r="F6" s="6"/>
      <c r="G6" s="6"/>
      <c r="H6" s="6"/>
      <c r="I6" s="6"/>
      <c r="J6" s="6"/>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35</v>
      </c>
      <c r="B7" s="55" t="s">
        <v>36</v>
      </c>
      <c r="C7" s="56" t="s">
        <v>18</v>
      </c>
      <c r="D7" s="57" t="s">
        <v>235</v>
      </c>
      <c r="E7" s="86" t="n">
        <f aca="false">IFERROR(__xludf.dummyfunction("COUNTA(SPLIT(D7,"" ""))/COUNTA(SPLIT($B$7,"" ""))"),0.110236220472441)</f>
        <v>0.1102362205</v>
      </c>
      <c r="F7" s="56" t="n">
        <v>5</v>
      </c>
      <c r="G7" s="56" t="n">
        <v>5</v>
      </c>
      <c r="H7" s="56" t="n">
        <v>5</v>
      </c>
      <c r="I7" s="56" t="n">
        <v>5</v>
      </c>
      <c r="J7" s="56" t="n">
        <v>3</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6" t="s">
        <v>19</v>
      </c>
      <c r="D8" s="89" t="s">
        <v>236</v>
      </c>
      <c r="E8" s="87" t="n">
        <f aca="false">IFERROR(__xludf.dummyfunction("COUNTA(SPLIT(D8,"" ""))/COUNTA(SPLIT($B$7,"" ""))"),0.173228346456693)</f>
        <v>0.1732283465</v>
      </c>
      <c r="F8" s="6" t="n">
        <v>5</v>
      </c>
      <c r="G8" s="6" t="n">
        <v>5</v>
      </c>
      <c r="H8" s="6" t="n">
        <v>5</v>
      </c>
      <c r="I8" s="6" t="n">
        <v>4</v>
      </c>
      <c r="J8" s="6" t="n">
        <v>3</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6" t="s">
        <v>8</v>
      </c>
      <c r="D9" s="80" t="s">
        <v>237</v>
      </c>
      <c r="E9" s="88" t="n">
        <f aca="false">IFERROR(__xludf.dummyfunction("COUNTA(SPLIT(D9,"" ""))/COUNTA(SPLIT($B$7,"" ""))"),0.377952755905512)</f>
        <v>0.3779527559</v>
      </c>
      <c r="F9" s="6" t="n">
        <v>3</v>
      </c>
      <c r="G9" s="6" t="n">
        <v>5</v>
      </c>
      <c r="H9" s="6" t="n">
        <v>5</v>
      </c>
      <c r="I9" s="6" t="n">
        <v>4</v>
      </c>
      <c r="J9" s="6"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6" t="s">
        <v>20</v>
      </c>
      <c r="D10" s="82" t="s">
        <v>238</v>
      </c>
      <c r="E10" s="70" t="n">
        <f aca="false">IFERROR(__xludf.dummyfunction("COUNTA(SPLIT(D10,"" ""))/COUNTA(SPLIT($B$7,"" ""))"),0.283464566929134)</f>
        <v>0.2834645669</v>
      </c>
      <c r="F10" s="6" t="n">
        <v>4</v>
      </c>
      <c r="G10" s="6" t="n">
        <v>5</v>
      </c>
      <c r="H10" s="6" t="n">
        <v>4</v>
      </c>
      <c r="I10" s="6" t="n">
        <v>5</v>
      </c>
      <c r="J10" s="6" t="n">
        <v>5</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6"/>
      <c r="D11" s="49"/>
      <c r="E11" s="53"/>
      <c r="F11" s="6"/>
      <c r="G11" s="6"/>
      <c r="H11" s="6"/>
      <c r="I11" s="6"/>
      <c r="J11" s="6"/>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60" t="s">
        <v>39</v>
      </c>
      <c r="B12" s="55" t="s">
        <v>40</v>
      </c>
      <c r="C12" s="56" t="s">
        <v>18</v>
      </c>
      <c r="D12" s="57" t="s">
        <v>239</v>
      </c>
      <c r="E12" s="91" t="n">
        <f aca="false">IFERROR(__xludf.dummyfunction("COUNTA(SPLIT(D12,"" ""))/COUNTA(SPLIT($B$12,"" ""))"),0.068421052631579)</f>
        <v>0.06842105263</v>
      </c>
      <c r="F12" s="56" t="n">
        <v>4</v>
      </c>
      <c r="G12" s="56" t="n">
        <v>5</v>
      </c>
      <c r="H12" s="56" t="n">
        <v>3</v>
      </c>
      <c r="I12" s="56" t="n">
        <v>5</v>
      </c>
      <c r="J12" s="56" t="n">
        <v>2</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60"/>
      <c r="B13" s="60"/>
      <c r="C13" s="6" t="s">
        <v>19</v>
      </c>
      <c r="D13" s="82" t="s">
        <v>240</v>
      </c>
      <c r="E13" s="91" t="n">
        <f aca="false">IFERROR(__xludf.dummyfunction("COUNTA(SPLIT(D13,"" ""))/COUNTA(SPLIT($B$12,"" ""))"),0.110526315789474)</f>
        <v>0.1105263158</v>
      </c>
      <c r="F13" s="6" t="n">
        <v>4</v>
      </c>
      <c r="G13" s="6" t="n">
        <v>5</v>
      </c>
      <c r="H13" s="6" t="n">
        <v>4</v>
      </c>
      <c r="I13" s="6" t="n">
        <v>4</v>
      </c>
      <c r="J13" s="6" t="n">
        <v>2</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62"/>
      <c r="B14" s="55"/>
      <c r="C14" s="6" t="s">
        <v>8</v>
      </c>
      <c r="D14" s="80" t="s">
        <v>241</v>
      </c>
      <c r="E14" s="92" t="n">
        <f aca="false">IFERROR(__xludf.dummyfunction("COUNTA(SPLIT(D14,"" ""))/COUNTA(SPLIT($B$12,"" ""))"),0.163157894736842)</f>
        <v>0.1631578947</v>
      </c>
      <c r="F14" s="6" t="n">
        <v>3</v>
      </c>
      <c r="G14" s="6" t="n">
        <v>4</v>
      </c>
      <c r="H14" s="6" t="n">
        <v>5</v>
      </c>
      <c r="I14" s="6" t="n">
        <v>4</v>
      </c>
      <c r="J14" s="6" t="n">
        <v>3</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62"/>
      <c r="B15" s="55"/>
      <c r="C15" s="6" t="s">
        <v>20</v>
      </c>
      <c r="D15" s="82" t="s">
        <v>242</v>
      </c>
      <c r="E15" s="93" t="n">
        <f aca="false">IFERROR(__xludf.dummyfunction("COUNTA(SPLIT(D15,"" ""))/COUNTA(SPLIT($B$12,"" ""))"),0.147368421052632)</f>
        <v>0.1473684211</v>
      </c>
      <c r="F15" s="6" t="n">
        <v>4</v>
      </c>
      <c r="G15" s="6" t="n">
        <v>5</v>
      </c>
      <c r="H15" s="6" t="n">
        <v>4</v>
      </c>
      <c r="I15" s="6" t="n">
        <v>5</v>
      </c>
      <c r="J15" s="6" t="n">
        <v>4</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6"/>
      <c r="D16" s="49"/>
      <c r="E16" s="53"/>
      <c r="F16" s="6"/>
      <c r="G16" s="6"/>
      <c r="H16" s="6"/>
      <c r="I16" s="6"/>
      <c r="J16" s="6"/>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60" t="s">
        <v>43</v>
      </c>
      <c r="B17" s="55" t="s">
        <v>44</v>
      </c>
      <c r="C17" s="56" t="s">
        <v>18</v>
      </c>
      <c r="D17" s="63" t="s">
        <v>243</v>
      </c>
      <c r="E17" s="94" t="n">
        <f aca="false">IFERROR(__xludf.dummyfunction("COUNTA(SPLIT(D17,"" ""))/COUNTA(SPLIT($B$17,"" ""))"),0.111888111888112)</f>
        <v>0.1118881119</v>
      </c>
      <c r="F17" s="56" t="n">
        <v>4</v>
      </c>
      <c r="G17" s="56" t="n">
        <v>5</v>
      </c>
      <c r="H17" s="56" t="n">
        <v>3</v>
      </c>
      <c r="I17" s="56" t="n">
        <v>5</v>
      </c>
      <c r="J17" s="56" t="n">
        <v>4</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60"/>
      <c r="B18" s="60"/>
      <c r="C18" s="6" t="s">
        <v>19</v>
      </c>
      <c r="D18" s="49" t="s">
        <v>244</v>
      </c>
      <c r="E18" s="95" t="n">
        <f aca="false">IFERROR(__xludf.dummyfunction("COUNTA(SPLIT(D18,"" ""))/COUNTA(SPLIT($B$17,"" ""))"),0.143356643356643)</f>
        <v>0.1433566434</v>
      </c>
      <c r="F18" s="6" t="n">
        <v>4</v>
      </c>
      <c r="G18" s="6" t="n">
        <v>4</v>
      </c>
      <c r="H18" s="6" t="n">
        <v>3</v>
      </c>
      <c r="I18" s="6" t="n">
        <v>5</v>
      </c>
      <c r="J18" s="6" t="n">
        <v>4</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60"/>
      <c r="B19" s="60"/>
      <c r="C19" s="6" t="s">
        <v>8</v>
      </c>
      <c r="D19" s="80" t="s">
        <v>245</v>
      </c>
      <c r="E19" s="91" t="n">
        <f aca="false">IFERROR(__xludf.dummyfunction("COUNTA(SPLIT(D19,"" ""))/COUNTA(SPLIT($B$17,"" ""))"),0.152097902097902)</f>
        <v>0.1520979021</v>
      </c>
      <c r="F19" s="6" t="n">
        <v>3</v>
      </c>
      <c r="G19" s="6" t="n">
        <v>5</v>
      </c>
      <c r="H19" s="6" t="n">
        <v>4</v>
      </c>
      <c r="I19" s="6" t="n">
        <v>4</v>
      </c>
      <c r="J19" s="6"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60"/>
      <c r="B20" s="60"/>
      <c r="C20" s="6" t="s">
        <v>20</v>
      </c>
      <c r="D20" s="49" t="s">
        <v>246</v>
      </c>
      <c r="E20" s="96" t="n">
        <f aca="false">IFERROR(__xludf.dummyfunction("COUNTA(SPLIT(D20,"" ""))/COUNTA(SPLIT($B$17,"" ""))"),0.111888111888112)</f>
        <v>0.1118881119</v>
      </c>
      <c r="F20" s="6" t="n">
        <v>4</v>
      </c>
      <c r="G20" s="6" t="n">
        <v>5</v>
      </c>
      <c r="H20" s="6" t="n">
        <v>4</v>
      </c>
      <c r="I20" s="6" t="n">
        <v>5</v>
      </c>
      <c r="J20" s="6" t="n">
        <v>4</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6"/>
      <c r="D21" s="49"/>
      <c r="E21" s="53"/>
      <c r="F21" s="6"/>
      <c r="G21" s="6"/>
      <c r="H21" s="6"/>
      <c r="I21" s="6"/>
      <c r="J21" s="6"/>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60" t="s">
        <v>47</v>
      </c>
      <c r="B22" s="55" t="s">
        <v>48</v>
      </c>
      <c r="C22" s="56" t="s">
        <v>18</v>
      </c>
      <c r="D22" s="63" t="s">
        <v>247</v>
      </c>
      <c r="E22" s="97" t="n">
        <f aca="false">IFERROR(__xludf.dummyfunction("COUNTA(SPLIT(D22,"" ""))/COUNTA(SPLIT($B$22,"" ""))"),0.0967741935483871)</f>
        <v>0.09677419355</v>
      </c>
      <c r="F22" s="56" t="n">
        <v>4</v>
      </c>
      <c r="G22" s="56" t="n">
        <v>5</v>
      </c>
      <c r="H22" s="56" t="n">
        <v>5</v>
      </c>
      <c r="I22" s="56" t="n">
        <v>5</v>
      </c>
      <c r="J22" s="56" t="n">
        <v>3</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60"/>
      <c r="B23" s="60"/>
      <c r="C23" s="6" t="s">
        <v>19</v>
      </c>
      <c r="D23" s="80" t="s">
        <v>248</v>
      </c>
      <c r="E23" s="98" t="n">
        <f aca="false">IFERROR(__xludf.dummyfunction("COUNTA(SPLIT(D23,"" ""))/COUNTA(SPLIT($B$22,"" ""))"),0.152329749103943)</f>
        <v>0.1523297491</v>
      </c>
      <c r="F23" s="6" t="n">
        <v>3</v>
      </c>
      <c r="G23" s="6" t="n">
        <v>5</v>
      </c>
      <c r="H23" s="6" t="n">
        <v>4</v>
      </c>
      <c r="I23" s="6" t="n">
        <v>4</v>
      </c>
      <c r="J23" s="6" t="n">
        <v>2</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60"/>
      <c r="B24" s="60"/>
      <c r="C24" s="6" t="s">
        <v>8</v>
      </c>
      <c r="D24" s="80" t="s">
        <v>249</v>
      </c>
      <c r="E24" s="99" t="n">
        <f aca="false">IFERROR(__xludf.dummyfunction("COUNTA(SPLIT(D24,"" ""))/COUNTA(SPLIT($B$22,"" ""))"),0.181003584229391)</f>
        <v>0.1810035842</v>
      </c>
      <c r="F24" s="6" t="n">
        <v>3</v>
      </c>
      <c r="G24" s="6" t="n">
        <v>4</v>
      </c>
      <c r="H24" s="6" t="n">
        <v>5</v>
      </c>
      <c r="I24" s="6" t="n">
        <v>4</v>
      </c>
      <c r="J24" s="6" t="n">
        <v>4</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60"/>
      <c r="B25" s="60"/>
      <c r="C25" s="6" t="s">
        <v>20</v>
      </c>
      <c r="D25" s="49" t="s">
        <v>250</v>
      </c>
      <c r="E25" s="73" t="n">
        <f aca="false">IFERROR(__xludf.dummyfunction("COUNTA(SPLIT(D25,"" ""))/COUNTA(SPLIT($B$22,"" ""))"),0.125448028673835)</f>
        <v>0.1254480287</v>
      </c>
      <c r="F25" s="6" t="n">
        <v>4</v>
      </c>
      <c r="G25" s="6" t="n">
        <v>4</v>
      </c>
      <c r="H25" s="6" t="n">
        <v>4</v>
      </c>
      <c r="I25" s="6" t="n">
        <v>5</v>
      </c>
      <c r="J25" s="6" t="n">
        <v>3</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6"/>
      <c r="D26" s="49"/>
      <c r="E26" s="53"/>
      <c r="F26" s="6"/>
      <c r="G26" s="6"/>
      <c r="H26" s="6"/>
      <c r="I26" s="6"/>
      <c r="J26" s="6"/>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51</v>
      </c>
      <c r="B27" s="55" t="s">
        <v>52</v>
      </c>
      <c r="C27" s="56" t="s">
        <v>18</v>
      </c>
      <c r="D27" s="63" t="s">
        <v>251</v>
      </c>
      <c r="E27" s="102" t="n">
        <f aca="false">IFERROR(__xludf.dummyfunction("COUNTA(SPLIT(D27,"" ""))/COUNTA(SPLIT($B$27,"" ""))"),0.255474452554745)</f>
        <v>0.2554744526</v>
      </c>
      <c r="F27" s="56" t="n">
        <v>4</v>
      </c>
      <c r="G27" s="56" t="n">
        <v>5</v>
      </c>
      <c r="H27" s="56" t="n">
        <v>5</v>
      </c>
      <c r="I27" s="56" t="n">
        <v>5</v>
      </c>
      <c r="J27" s="56" t="n">
        <v>3</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6" t="s">
        <v>19</v>
      </c>
      <c r="D28" s="49" t="s">
        <v>252</v>
      </c>
      <c r="E28" s="103" t="n">
        <f aca="false">IFERROR(__xludf.dummyfunction("COUNTA(SPLIT(D28,"" ""))/COUNTA(SPLIT($B$27,"" ""))"),0.343065693430657)</f>
        <v>0.3430656934</v>
      </c>
      <c r="F28" s="6" t="n">
        <v>3</v>
      </c>
      <c r="G28" s="6" t="n">
        <v>4</v>
      </c>
      <c r="H28" s="6" t="n">
        <v>3</v>
      </c>
      <c r="I28" s="6" t="n">
        <v>4</v>
      </c>
      <c r="J28" s="6" t="n">
        <v>3</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6" t="s">
        <v>8</v>
      </c>
      <c r="D29" s="49" t="s">
        <v>253</v>
      </c>
      <c r="E29" s="96" t="n">
        <f aca="false">IFERROR(__xludf.dummyfunction("COUNTA(SPLIT(D29,"" ""))/COUNTA(SPLIT($B$27,"" ""))"),0.72992700729927)</f>
        <v>0.7299270073</v>
      </c>
      <c r="F29" s="6" t="n">
        <v>3</v>
      </c>
      <c r="G29" s="6" t="n">
        <v>5</v>
      </c>
      <c r="H29" s="6" t="n">
        <v>5</v>
      </c>
      <c r="I29" s="6" t="n">
        <v>3</v>
      </c>
      <c r="J29" s="6" t="n">
        <v>4</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6" t="s">
        <v>20</v>
      </c>
      <c r="D30" s="49" t="s">
        <v>254</v>
      </c>
      <c r="E30" s="104" t="n">
        <f aca="false">IFERROR(__xludf.dummyfunction("COUNTA(SPLIT(D30,"" ""))/COUNTA(SPLIT($B$27,"" ""))"),0.277372262773723)</f>
        <v>0.2773722628</v>
      </c>
      <c r="F30" s="6" t="n">
        <v>4</v>
      </c>
      <c r="G30" s="6" t="n">
        <v>4</v>
      </c>
      <c r="H30" s="6" t="n">
        <v>5</v>
      </c>
      <c r="I30" s="6" t="n">
        <v>5</v>
      </c>
      <c r="J30" s="6" t="n">
        <v>4</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6"/>
      <c r="D31" s="49"/>
      <c r="E31" s="53"/>
      <c r="F31" s="6"/>
      <c r="G31" s="6"/>
      <c r="H31" s="6"/>
      <c r="I31" s="6"/>
      <c r="J31" s="6"/>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55</v>
      </c>
      <c r="B32" s="55" t="s">
        <v>56</v>
      </c>
      <c r="C32" s="56" t="s">
        <v>18</v>
      </c>
      <c r="D32" s="63" t="s">
        <v>255</v>
      </c>
      <c r="E32" s="72" t="n">
        <f aca="false">IFERROR(__xludf.dummyfunction("COUNTA(SPLIT(D32,"" ""))/COUNTA(SPLIT($B$32,"" ""))"),0.124183006535948)</f>
        <v>0.1241830065</v>
      </c>
      <c r="F32" s="56" t="n">
        <v>4</v>
      </c>
      <c r="G32" s="56" t="n">
        <v>5</v>
      </c>
      <c r="H32" s="56" t="n">
        <v>4</v>
      </c>
      <c r="I32" s="56" t="n">
        <v>5</v>
      </c>
      <c r="J32" s="56" t="n">
        <v>3</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6" t="s">
        <v>19</v>
      </c>
      <c r="D33" s="49" t="s">
        <v>256</v>
      </c>
      <c r="E33" s="105" t="n">
        <f aca="false">IFERROR(__xludf.dummyfunction("COUNTA(SPLIT(D33,"" ""))/COUNTA(SPLIT($B$32,"" ""))"),0.169934640522876)</f>
        <v>0.1699346405</v>
      </c>
      <c r="F33" s="6" t="n">
        <v>3</v>
      </c>
      <c r="G33" s="6" t="n">
        <v>5</v>
      </c>
      <c r="H33" s="6" t="n">
        <v>4</v>
      </c>
      <c r="I33" s="6" t="n">
        <v>3</v>
      </c>
      <c r="J33" s="6" t="n">
        <v>3</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69"/>
      <c r="C34" s="6" t="s">
        <v>8</v>
      </c>
      <c r="D34" s="111" t="s">
        <v>257</v>
      </c>
      <c r="E34" s="106" t="n">
        <f aca="false">IFERROR(__xludf.dummyfunction("COUNTA(SPLIT(D34,"" ""))/COUNTA(SPLIT($B$32,"" ""))"),0.211328976034858)</f>
        <v>0.211328976</v>
      </c>
      <c r="F34" s="6" t="n">
        <v>3</v>
      </c>
      <c r="G34" s="6" t="n">
        <v>5</v>
      </c>
      <c r="H34" s="6" t="n">
        <v>4</v>
      </c>
      <c r="I34" s="6" t="n">
        <v>3</v>
      </c>
      <c r="J34" s="6" t="n">
        <v>3</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69"/>
      <c r="C35" s="6" t="s">
        <v>20</v>
      </c>
      <c r="D35" s="49" t="s">
        <v>258</v>
      </c>
      <c r="E35" s="67" t="n">
        <f aca="false">IFERROR(__xludf.dummyfunction("COUNTA(SPLIT(D35,"" ""))/COUNTA(SPLIT($B$32,"" ""))"),0.104575163398693)</f>
        <v>0.1045751634</v>
      </c>
      <c r="F35" s="6" t="n">
        <v>4</v>
      </c>
      <c r="G35" s="6" t="n">
        <v>5</v>
      </c>
      <c r="H35" s="6" t="n">
        <v>4</v>
      </c>
      <c r="I35" s="6" t="n">
        <v>5</v>
      </c>
      <c r="J35" s="6" t="n">
        <v>2</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6"/>
      <c r="D36" s="49"/>
      <c r="E36" s="53"/>
      <c r="F36" s="6"/>
      <c r="G36" s="6"/>
      <c r="H36" s="6"/>
      <c r="I36" s="6"/>
      <c r="J36" s="6"/>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59</v>
      </c>
      <c r="B37" s="55" t="s">
        <v>60</v>
      </c>
      <c r="C37" s="56" t="s">
        <v>18</v>
      </c>
      <c r="D37" s="63" t="s">
        <v>259</v>
      </c>
      <c r="E37" s="81" t="n">
        <f aca="false">IFERROR(__xludf.dummyfunction("COUNTA(SPLIT(D37,"" ""))/COUNTA(SPLIT($B$37,"" ""))"),0.279503105590062)</f>
        <v>0.2795031056</v>
      </c>
      <c r="F37" s="56" t="n">
        <v>5</v>
      </c>
      <c r="G37" s="56" t="n">
        <v>4</v>
      </c>
      <c r="H37" s="56" t="n">
        <v>5</v>
      </c>
      <c r="I37" s="56" t="n">
        <v>5</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6" t="s">
        <v>19</v>
      </c>
      <c r="D38" s="89" t="s">
        <v>260</v>
      </c>
      <c r="E38" s="107" t="n">
        <f aca="false">IFERROR(__xludf.dummyfunction("COUNTA(SPLIT(D38,"" ""))/COUNTA(SPLIT($B$37,"" ""))"),0.354037267080745)</f>
        <v>0.3540372671</v>
      </c>
      <c r="F38" s="6" t="n">
        <v>3</v>
      </c>
      <c r="G38" s="6" t="n">
        <v>4</v>
      </c>
      <c r="H38" s="6" t="n">
        <v>5</v>
      </c>
      <c r="I38" s="6" t="n">
        <v>4</v>
      </c>
      <c r="J38" s="6" t="n">
        <v>5</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6" t="s">
        <v>8</v>
      </c>
      <c r="D39" s="49" t="s">
        <v>261</v>
      </c>
      <c r="E39" s="93" t="n">
        <f aca="false">IFERROR(__xludf.dummyfunction("COUNTA(SPLIT(D39,"" ""))/COUNTA(SPLIT($B$37,"" ""))"),0.341614906832298)</f>
        <v>0.3416149068</v>
      </c>
      <c r="F39" s="6" t="n">
        <v>3</v>
      </c>
      <c r="G39" s="6" t="n">
        <v>5</v>
      </c>
      <c r="H39" s="6" t="n">
        <v>4</v>
      </c>
      <c r="I39" s="6" t="n">
        <v>4</v>
      </c>
      <c r="J39" s="6" t="n">
        <v>5</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6" t="s">
        <v>20</v>
      </c>
      <c r="D40" s="49" t="s">
        <v>262</v>
      </c>
      <c r="E40" s="84" t="n">
        <f aca="false">IFERROR(__xludf.dummyfunction("COUNTA(SPLIT(D40,"" ""))/COUNTA(SPLIT($B$37,"" ""))"),0.180124223602484)</f>
        <v>0.1801242236</v>
      </c>
      <c r="F40" s="6" t="n">
        <v>4</v>
      </c>
      <c r="G40" s="6" t="n">
        <v>3</v>
      </c>
      <c r="H40" s="6" t="n">
        <v>5</v>
      </c>
      <c r="I40" s="6" t="n">
        <v>5</v>
      </c>
      <c r="J40" s="6" t="n">
        <v>3</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6"/>
      <c r="D41" s="49"/>
      <c r="E41" s="53"/>
      <c r="F41" s="6"/>
      <c r="G41" s="6"/>
      <c r="H41" s="6"/>
      <c r="I41" s="6"/>
      <c r="J41" s="6"/>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63</v>
      </c>
      <c r="B42" s="55" t="s">
        <v>64</v>
      </c>
      <c r="C42" s="56" t="s">
        <v>18</v>
      </c>
      <c r="D42" s="63" t="s">
        <v>263</v>
      </c>
      <c r="E42" s="81" t="n">
        <f aca="false">IFERROR(__xludf.dummyfunction("COUNTA(SPLIT(D42,"" ""))/COUNTA(SPLIT($B$42,"" ""))"),0.0858505564387917)</f>
        <v>0.08585055644</v>
      </c>
      <c r="F42" s="56" t="n">
        <v>4</v>
      </c>
      <c r="G42" s="56" t="n">
        <v>5</v>
      </c>
      <c r="H42" s="56" t="n">
        <v>5</v>
      </c>
      <c r="I42" s="56" t="n">
        <v>5</v>
      </c>
      <c r="J42" s="56" t="n">
        <v>4</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6" t="s">
        <v>19</v>
      </c>
      <c r="D43" s="49" t="s">
        <v>264</v>
      </c>
      <c r="E43" s="81" t="n">
        <f aca="false">IFERROR(__xludf.dummyfunction("COUNTA(SPLIT(D43,"" ""))/COUNTA(SPLIT($B$42,"" ""))"),0.130365659777424)</f>
        <v>0.1303656598</v>
      </c>
      <c r="F43" s="6" t="n">
        <v>3</v>
      </c>
      <c r="G43" s="6" t="n">
        <v>5</v>
      </c>
      <c r="H43" s="6" t="n">
        <v>5</v>
      </c>
      <c r="I43" s="6" t="n">
        <v>3</v>
      </c>
      <c r="J43" s="6" t="n">
        <v>3</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6" t="s">
        <v>8</v>
      </c>
      <c r="D44" s="49" t="s">
        <v>265</v>
      </c>
      <c r="E44" s="108" t="n">
        <f aca="false">IFERROR(__xludf.dummyfunction("COUNTA(SPLIT(D44,"" ""))/COUNTA(SPLIT($B$42,"" ""))"),0.162162162162162)</f>
        <v>0.1621621622</v>
      </c>
      <c r="F44" s="6" t="n">
        <v>3</v>
      </c>
      <c r="G44" s="6" t="n">
        <v>5</v>
      </c>
      <c r="H44" s="6" t="n">
        <v>3</v>
      </c>
      <c r="I44" s="6" t="n">
        <v>4</v>
      </c>
      <c r="J44" s="6" t="n">
        <v>5</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6" t="s">
        <v>20</v>
      </c>
      <c r="D45" s="49" t="s">
        <v>266</v>
      </c>
      <c r="E45" s="104" t="n">
        <f aca="false">IFERROR(__xludf.dummyfunction("COUNTA(SPLIT(D45,"" ""))/COUNTA(SPLIT($B$42,"" ""))"),0.0524642289348172)</f>
        <v>0.05246422893</v>
      </c>
      <c r="F45" s="6" t="n">
        <v>4</v>
      </c>
      <c r="G45" s="6" t="n">
        <v>5</v>
      </c>
      <c r="H45" s="6" t="n">
        <v>5</v>
      </c>
      <c r="I45" s="6" t="n">
        <v>5</v>
      </c>
      <c r="J45" s="6" t="n">
        <v>3</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6"/>
      <c r="D46" s="49"/>
      <c r="E46" s="53"/>
      <c r="F46" s="6"/>
      <c r="G46" s="6"/>
      <c r="H46" s="6"/>
      <c r="I46" s="6"/>
      <c r="J46" s="6"/>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67</v>
      </c>
      <c r="B47" s="55" t="s">
        <v>68</v>
      </c>
      <c r="C47" s="56" t="s">
        <v>18</v>
      </c>
      <c r="D47" s="63" t="s">
        <v>267</v>
      </c>
      <c r="E47" s="109" t="n">
        <f aca="false">IFERROR(__xludf.dummyfunction("COUNTA(SPLIT(D47,"" ""))/COUNTA(SPLIT($B$47,"" ""))"),0.220532319391635)</f>
        <v>0.2205323194</v>
      </c>
      <c r="F47" s="56" t="n">
        <v>5</v>
      </c>
      <c r="G47" s="56" t="n">
        <v>5</v>
      </c>
      <c r="H47" s="56" t="n">
        <v>5</v>
      </c>
      <c r="I47" s="56" t="n">
        <v>5</v>
      </c>
      <c r="J47" s="56" t="n">
        <v>5</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6" t="s">
        <v>19</v>
      </c>
      <c r="D48" s="49" t="s">
        <v>268</v>
      </c>
      <c r="E48" s="77" t="n">
        <f aca="false">IFERROR(__xludf.dummyfunction("COUNTA(SPLIT(D48,"" ""))/COUNTA(SPLIT($B$47,"" ""))"),0.17680608365019)</f>
        <v>0.1768060837</v>
      </c>
      <c r="F48" s="6" t="n">
        <v>3</v>
      </c>
      <c r="G48" s="6" t="n">
        <v>5</v>
      </c>
      <c r="H48" s="6" t="n">
        <v>5</v>
      </c>
      <c r="I48" s="6" t="n">
        <v>3</v>
      </c>
      <c r="J48" s="6" t="n">
        <v>3</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6" t="s">
        <v>8</v>
      </c>
      <c r="D49" s="49" t="s">
        <v>269</v>
      </c>
      <c r="E49" s="78" t="n">
        <f aca="false">IFERROR(__xludf.dummyfunction("COUNTA(SPLIT(D49,"" ""))/COUNTA(SPLIT($B$47,"" ""))"),0.224334600760456)</f>
        <v>0.2243346008</v>
      </c>
      <c r="F49" s="6" t="n">
        <v>3</v>
      </c>
      <c r="G49" s="6" t="n">
        <v>4</v>
      </c>
      <c r="H49" s="6" t="n">
        <v>5</v>
      </c>
      <c r="I49" s="6" t="n">
        <v>5</v>
      </c>
      <c r="J49" s="6" t="n">
        <v>4</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6" t="s">
        <v>20</v>
      </c>
      <c r="D50" s="49" t="s">
        <v>270</v>
      </c>
      <c r="E50" s="79" t="n">
        <f aca="false">IFERROR(__xludf.dummyfunction("COUNTA(SPLIT(D50,"" ""))/COUNTA(SPLIT($B$47,"" ""))"),0.0931558935361217)</f>
        <v>0.09315589354</v>
      </c>
      <c r="F50" s="6" t="n">
        <v>5</v>
      </c>
      <c r="G50" s="6" t="n">
        <v>5</v>
      </c>
      <c r="H50" s="6" t="n">
        <v>5</v>
      </c>
      <c r="I50" s="6" t="n">
        <v>5</v>
      </c>
      <c r="J50" s="6" t="n">
        <v>3</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6"/>
      <c r="D51" s="49"/>
      <c r="E51" s="51"/>
      <c r="F51" s="6"/>
      <c r="G51" s="6"/>
      <c r="H51" s="6"/>
      <c r="I51" s="6"/>
      <c r="J51" s="6"/>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76"/>
      <c r="B52" s="55"/>
      <c r="C52" s="56" t="s">
        <v>18</v>
      </c>
      <c r="D52" s="63"/>
      <c r="E52" s="75" t="n">
        <f aca="false">IFERROR(__xludf.dummyfunction("COUNTA(SPLIT(D52,"" ""))/COUNTA(SPLIT($B$47,"" ""))"),0.00190114068441065)</f>
        <v>0.001901140684</v>
      </c>
      <c r="F52" s="56"/>
      <c r="G52" s="56"/>
      <c r="H52" s="56"/>
      <c r="I52" s="56"/>
      <c r="J52" s="56"/>
      <c r="K52" s="59"/>
      <c r="L52" s="59"/>
      <c r="M52" s="59"/>
      <c r="N52" s="59"/>
      <c r="O52" s="59"/>
      <c r="P52" s="59"/>
      <c r="Q52" s="59"/>
      <c r="R52" s="59"/>
      <c r="S52" s="59"/>
      <c r="T52" s="59"/>
      <c r="U52" s="59"/>
      <c r="V52" s="59"/>
      <c r="W52" s="59"/>
      <c r="X52" s="59"/>
      <c r="Y52" s="59"/>
      <c r="Z52" s="59"/>
      <c r="AA52" s="59"/>
      <c r="AB52" s="59"/>
    </row>
    <row r="53" customFormat="false" ht="15.75" hidden="false" customHeight="false" outlineLevel="0" collapsed="false">
      <c r="A53" s="76"/>
      <c r="B53" s="76"/>
      <c r="C53" s="6" t="s">
        <v>19</v>
      </c>
      <c r="D53" s="49"/>
      <c r="E53" s="77" t="n">
        <f aca="false">IFERROR(__xludf.dummyfunction("COUNTA(SPLIT(D53,"" ""))/COUNTA(SPLIT($B$47,"" ""))"),0.00190114068441065)</f>
        <v>0.001901140684</v>
      </c>
      <c r="F53" s="6"/>
      <c r="G53" s="6"/>
      <c r="H53" s="6"/>
      <c r="I53" s="6"/>
      <c r="J53" s="6"/>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76"/>
      <c r="B54" s="76"/>
      <c r="C54" s="6" t="s">
        <v>8</v>
      </c>
      <c r="D54" s="49"/>
      <c r="E54" s="78" t="n">
        <f aca="false">IFERROR(__xludf.dummyfunction("COUNTA(SPLIT(D54,"" ""))/COUNTA(SPLIT($B$47,"" ""))"),0.00190114068441065)</f>
        <v>0.001901140684</v>
      </c>
      <c r="F54" s="6"/>
      <c r="G54" s="6"/>
      <c r="H54" s="6"/>
      <c r="I54" s="6"/>
      <c r="J54" s="6"/>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76"/>
      <c r="B55" s="76"/>
      <c r="C55" s="6" t="s">
        <v>20</v>
      </c>
      <c r="D55" s="49"/>
      <c r="E55" s="79" t="n">
        <f aca="false">IFERROR(__xludf.dummyfunction("COUNTA(SPLIT(D55,"" ""))/COUNTA(SPLIT($B$47,"" ""))"),0.00190114068441065)</f>
        <v>0.001901140684</v>
      </c>
      <c r="F55" s="6"/>
      <c r="G55" s="6"/>
      <c r="H55" s="6"/>
      <c r="I55" s="6"/>
      <c r="J55" s="6"/>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6"/>
      <c r="D56" s="49"/>
      <c r="E56" s="51"/>
      <c r="F56" s="6"/>
      <c r="G56" s="6"/>
      <c r="H56" s="6"/>
      <c r="I56" s="6"/>
      <c r="J56" s="6"/>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76"/>
      <c r="B57" s="55"/>
      <c r="C57" s="56" t="s">
        <v>18</v>
      </c>
      <c r="D57" s="63"/>
      <c r="E57" s="75" t="n">
        <f aca="false">IFERROR(__xludf.dummyfunction("COUNTA(SPLIT(D57,"" ""))/COUNTA(SPLIT($B$47,"" ""))"),0.00190114068441065)</f>
        <v>0.001901140684</v>
      </c>
      <c r="F57" s="56"/>
      <c r="G57" s="56"/>
      <c r="H57" s="56"/>
      <c r="I57" s="56"/>
      <c r="J57" s="56"/>
      <c r="K57" s="59"/>
      <c r="L57" s="59"/>
      <c r="M57" s="59"/>
      <c r="N57" s="59"/>
      <c r="O57" s="59"/>
      <c r="P57" s="59"/>
      <c r="Q57" s="59"/>
      <c r="R57" s="59"/>
      <c r="S57" s="59"/>
      <c r="T57" s="59"/>
      <c r="U57" s="59"/>
      <c r="V57" s="59"/>
      <c r="W57" s="59"/>
      <c r="X57" s="59"/>
      <c r="Y57" s="59"/>
      <c r="Z57" s="59"/>
      <c r="AA57" s="59"/>
      <c r="AB57" s="59"/>
    </row>
    <row r="58" customFormat="false" ht="15.75" hidden="false" customHeight="false" outlineLevel="0" collapsed="false">
      <c r="A58" s="76"/>
      <c r="B58" s="76"/>
      <c r="C58" s="6" t="s">
        <v>19</v>
      </c>
      <c r="D58" s="49"/>
      <c r="E58" s="77" t="n">
        <f aca="false">IFERROR(__xludf.dummyfunction("COUNTA(SPLIT(D58,"" ""))/COUNTA(SPLIT($B$47,"" ""))"),0.00190114068441065)</f>
        <v>0.001901140684</v>
      </c>
      <c r="F58" s="6"/>
      <c r="G58" s="6"/>
      <c r="H58" s="6"/>
      <c r="I58" s="6"/>
      <c r="J58" s="6"/>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76"/>
      <c r="B59" s="76"/>
      <c r="C59" s="6" t="s">
        <v>8</v>
      </c>
      <c r="D59" s="49"/>
      <c r="E59" s="78" t="n">
        <f aca="false">IFERROR(__xludf.dummyfunction("COUNTA(SPLIT(D59,"" ""))/COUNTA(SPLIT($B$47,"" ""))"),0.00190114068441065)</f>
        <v>0.001901140684</v>
      </c>
      <c r="F59" s="6"/>
      <c r="G59" s="6"/>
      <c r="H59" s="6"/>
      <c r="I59" s="6"/>
      <c r="J59" s="6"/>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76"/>
      <c r="B60" s="76"/>
      <c r="C60" s="6" t="s">
        <v>20</v>
      </c>
      <c r="D60" s="49"/>
      <c r="E60" s="79" t="n">
        <f aca="false">IFERROR(__xludf.dummyfunction("COUNTA(SPLIT(D60,"" ""))/COUNTA(SPLIT($B$47,"" ""))"),0.00190114068441065)</f>
        <v>0.001901140684</v>
      </c>
      <c r="F60" s="6"/>
      <c r="G60" s="6"/>
      <c r="H60" s="6"/>
      <c r="I60" s="6"/>
      <c r="J60" s="6"/>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6"/>
      <c r="D61" s="49"/>
      <c r="E61" s="51"/>
      <c r="F61" s="6"/>
      <c r="G61" s="6"/>
      <c r="H61" s="6"/>
      <c r="I61" s="6"/>
      <c r="J61" s="6"/>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76"/>
      <c r="B62" s="55"/>
      <c r="C62" s="56" t="s">
        <v>18</v>
      </c>
      <c r="D62" s="63"/>
      <c r="E62" s="75" t="n">
        <f aca="false">IFERROR(__xludf.dummyfunction("COUNTA(SPLIT(D62,"" ""))/COUNTA(SPLIT($B$47,"" ""))"),0.00190114068441065)</f>
        <v>0.001901140684</v>
      </c>
      <c r="F62" s="56"/>
      <c r="G62" s="56"/>
      <c r="H62" s="56"/>
      <c r="I62" s="56"/>
      <c r="J62" s="56"/>
      <c r="K62" s="59"/>
      <c r="L62" s="59"/>
      <c r="M62" s="59"/>
      <c r="N62" s="59"/>
      <c r="O62" s="59"/>
      <c r="P62" s="59"/>
      <c r="Q62" s="59"/>
      <c r="R62" s="59"/>
      <c r="S62" s="59"/>
      <c r="T62" s="59"/>
      <c r="U62" s="59"/>
      <c r="V62" s="59"/>
      <c r="W62" s="59"/>
      <c r="X62" s="59"/>
      <c r="Y62" s="59"/>
      <c r="Z62" s="59"/>
      <c r="AA62" s="59"/>
      <c r="AB62" s="59"/>
    </row>
    <row r="63" customFormat="false" ht="15.75" hidden="false" customHeight="false" outlineLevel="0" collapsed="false">
      <c r="A63" s="76"/>
      <c r="B63" s="76"/>
      <c r="C63" s="6" t="s">
        <v>19</v>
      </c>
      <c r="D63" s="49"/>
      <c r="E63" s="77" t="n">
        <f aca="false">IFERROR(__xludf.dummyfunction("COUNTA(SPLIT(D63,"" ""))/COUNTA(SPLIT($B$47,"" ""))"),0.00190114068441065)</f>
        <v>0.001901140684</v>
      </c>
      <c r="F63" s="6"/>
      <c r="G63" s="6"/>
      <c r="H63" s="6"/>
      <c r="I63" s="6"/>
      <c r="J63" s="6"/>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76"/>
      <c r="B64" s="76"/>
      <c r="C64" s="6" t="s">
        <v>8</v>
      </c>
      <c r="D64" s="49"/>
      <c r="E64" s="78" t="n">
        <f aca="false">IFERROR(__xludf.dummyfunction("COUNTA(SPLIT(D64,"" ""))/COUNTA(SPLIT($B$47,"" ""))"),0.00190114068441065)</f>
        <v>0.001901140684</v>
      </c>
      <c r="F64" s="6"/>
      <c r="G64" s="6"/>
      <c r="H64" s="6"/>
      <c r="I64" s="6"/>
      <c r="J64" s="6"/>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76"/>
      <c r="B65" s="76"/>
      <c r="C65" s="6" t="s">
        <v>20</v>
      </c>
      <c r="D65" s="49"/>
      <c r="E65" s="79" t="n">
        <f aca="false">IFERROR(__xludf.dummyfunction("COUNTA(SPLIT(D65,"" ""))/COUNTA(SPLIT($B$47,"" ""))"),0.00190114068441065)</f>
        <v>0.001901140684</v>
      </c>
      <c r="F65" s="6"/>
      <c r="G65" s="6"/>
      <c r="H65" s="6"/>
      <c r="I65" s="6"/>
      <c r="J65" s="6"/>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6"/>
      <c r="D66" s="49"/>
      <c r="E66" s="51"/>
      <c r="F66" s="6"/>
      <c r="G66" s="6"/>
      <c r="H66" s="6"/>
      <c r="I66" s="6"/>
      <c r="J66" s="6"/>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76"/>
      <c r="B67" s="55"/>
      <c r="C67" s="56" t="s">
        <v>18</v>
      </c>
      <c r="D67" s="63"/>
      <c r="E67" s="75" t="n">
        <f aca="false">IFERROR(__xludf.dummyfunction("COUNTA(SPLIT(D67,"" ""))/COUNTA(SPLIT($B$47,"" ""))"),0.00190114068441065)</f>
        <v>0.001901140684</v>
      </c>
      <c r="F67" s="56"/>
      <c r="G67" s="56"/>
      <c r="H67" s="56"/>
      <c r="I67" s="56"/>
      <c r="J67" s="56"/>
      <c r="K67" s="59"/>
      <c r="L67" s="59"/>
      <c r="M67" s="59"/>
      <c r="N67" s="59"/>
      <c r="O67" s="59"/>
      <c r="P67" s="59"/>
      <c r="Q67" s="59"/>
      <c r="R67" s="59"/>
      <c r="S67" s="59"/>
      <c r="T67" s="59"/>
      <c r="U67" s="59"/>
      <c r="V67" s="59"/>
      <c r="W67" s="59"/>
      <c r="X67" s="59"/>
      <c r="Y67" s="59"/>
      <c r="Z67" s="59"/>
      <c r="AA67" s="59"/>
      <c r="AB67" s="59"/>
    </row>
    <row r="68" customFormat="false" ht="15.75" hidden="false" customHeight="false" outlineLevel="0" collapsed="false">
      <c r="A68" s="76"/>
      <c r="B68" s="76"/>
      <c r="C68" s="6" t="s">
        <v>19</v>
      </c>
      <c r="D68" s="49"/>
      <c r="E68" s="77" t="n">
        <f aca="false">IFERROR(__xludf.dummyfunction("COUNTA(SPLIT(D68,"" ""))/COUNTA(SPLIT($B$47,"" ""))"),0.00190114068441065)</f>
        <v>0.001901140684</v>
      </c>
      <c r="F68" s="6"/>
      <c r="G68" s="6"/>
      <c r="H68" s="6"/>
      <c r="I68" s="6"/>
      <c r="J68" s="6"/>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76"/>
      <c r="B69" s="76"/>
      <c r="C69" s="6" t="s">
        <v>8</v>
      </c>
      <c r="D69" s="49"/>
      <c r="E69" s="78" t="n">
        <f aca="false">IFERROR(__xludf.dummyfunction("COUNTA(SPLIT(D69,"" ""))/COUNTA(SPLIT($B$47,"" ""))"),0.00190114068441065)</f>
        <v>0.001901140684</v>
      </c>
      <c r="F69" s="6"/>
      <c r="G69" s="6"/>
      <c r="H69" s="6"/>
      <c r="I69" s="6"/>
      <c r="J69" s="6"/>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76"/>
      <c r="B70" s="76"/>
      <c r="C70" s="6" t="s">
        <v>20</v>
      </c>
      <c r="D70" s="49"/>
      <c r="E70" s="79" t="n">
        <f aca="false">IFERROR(__xludf.dummyfunction("COUNTA(SPLIT(D70,"" ""))/COUNTA(SPLIT($B$47,"" ""))"),0.00190114068441065)</f>
        <v>0.001901140684</v>
      </c>
      <c r="F70" s="6"/>
      <c r="G70" s="6"/>
      <c r="H70" s="6"/>
      <c r="I70" s="6"/>
      <c r="J70" s="6"/>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6"/>
      <c r="D71" s="49"/>
      <c r="E71" s="51"/>
      <c r="F71" s="6"/>
      <c r="G71" s="6"/>
      <c r="H71" s="6"/>
      <c r="I71" s="6"/>
      <c r="J71" s="6"/>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76"/>
      <c r="B72" s="55"/>
      <c r="C72" s="56" t="s">
        <v>18</v>
      </c>
      <c r="D72" s="63"/>
      <c r="E72" s="75" t="n">
        <f aca="false">IFERROR(__xludf.dummyfunction("COUNTA(SPLIT(D72,"" ""))/COUNTA(SPLIT($B$47,"" ""))"),0.00190114068441065)</f>
        <v>0.001901140684</v>
      </c>
      <c r="F72" s="56"/>
      <c r="G72" s="56"/>
      <c r="H72" s="56"/>
      <c r="I72" s="56"/>
      <c r="J72" s="56"/>
      <c r="K72" s="59"/>
      <c r="L72" s="59"/>
      <c r="M72" s="59"/>
      <c r="N72" s="59"/>
      <c r="O72" s="59"/>
      <c r="P72" s="59"/>
      <c r="Q72" s="59"/>
      <c r="R72" s="59"/>
      <c r="S72" s="59"/>
      <c r="T72" s="59"/>
      <c r="U72" s="59"/>
      <c r="V72" s="59"/>
      <c r="W72" s="59"/>
      <c r="X72" s="59"/>
      <c r="Y72" s="59"/>
      <c r="Z72" s="59"/>
      <c r="AA72" s="59"/>
      <c r="AB72" s="59"/>
    </row>
    <row r="73" customFormat="false" ht="15.75" hidden="false" customHeight="false" outlineLevel="0" collapsed="false">
      <c r="A73" s="76"/>
      <c r="B73" s="76"/>
      <c r="C73" s="6" t="s">
        <v>19</v>
      </c>
      <c r="D73" s="49"/>
      <c r="E73" s="77" t="n">
        <f aca="false">IFERROR(__xludf.dummyfunction("COUNTA(SPLIT(D73,"" ""))/COUNTA(SPLIT($B$47,"" ""))"),0.00190114068441065)</f>
        <v>0.001901140684</v>
      </c>
      <c r="F73" s="6"/>
      <c r="G73" s="6"/>
      <c r="H73" s="6"/>
      <c r="I73" s="6"/>
      <c r="J73" s="6"/>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76"/>
      <c r="B74" s="76"/>
      <c r="C74" s="6" t="s">
        <v>8</v>
      </c>
      <c r="D74" s="49"/>
      <c r="E74" s="78" t="n">
        <f aca="false">IFERROR(__xludf.dummyfunction("COUNTA(SPLIT(D74,"" ""))/COUNTA(SPLIT($B$47,"" ""))"),0.00190114068441065)</f>
        <v>0.001901140684</v>
      </c>
      <c r="F74" s="6"/>
      <c r="G74" s="6"/>
      <c r="H74" s="6"/>
      <c r="I74" s="6"/>
      <c r="J74" s="6"/>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76"/>
      <c r="B75" s="76"/>
      <c r="C75" s="6" t="s">
        <v>20</v>
      </c>
      <c r="D75" s="49"/>
      <c r="E75" s="79" t="n">
        <f aca="false">IFERROR(__xludf.dummyfunction("COUNTA(SPLIT(D75,"" ""))/COUNTA(SPLIT($B$47,"" ""))"),0.00190114068441065)</f>
        <v>0.001901140684</v>
      </c>
      <c r="F75" s="6"/>
      <c r="G75" s="6"/>
      <c r="H75" s="6"/>
      <c r="I75" s="6"/>
      <c r="J75" s="6"/>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6"/>
      <c r="D76" s="49"/>
      <c r="E76" s="51"/>
      <c r="F76" s="6"/>
      <c r="G76" s="6"/>
      <c r="H76" s="6"/>
      <c r="I76" s="6"/>
      <c r="J76" s="6"/>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76"/>
      <c r="B77" s="55"/>
      <c r="C77" s="56" t="s">
        <v>18</v>
      </c>
      <c r="D77" s="63"/>
      <c r="E77" s="75" t="n">
        <f aca="false">IFERROR(__xludf.dummyfunction("COUNTA(SPLIT(D77,"" ""))/COUNTA(SPLIT($B$47,"" ""))"),0.00190114068441065)</f>
        <v>0.001901140684</v>
      </c>
      <c r="F77" s="56"/>
      <c r="G77" s="56"/>
      <c r="H77" s="56"/>
      <c r="I77" s="56"/>
      <c r="J77" s="56"/>
      <c r="K77" s="59"/>
      <c r="L77" s="59"/>
      <c r="M77" s="59"/>
      <c r="N77" s="59"/>
      <c r="O77" s="59"/>
      <c r="P77" s="59"/>
      <c r="Q77" s="59"/>
      <c r="R77" s="59"/>
      <c r="S77" s="59"/>
      <c r="T77" s="59"/>
      <c r="U77" s="59"/>
      <c r="V77" s="59"/>
      <c r="W77" s="59"/>
      <c r="X77" s="59"/>
      <c r="Y77" s="59"/>
      <c r="Z77" s="59"/>
      <c r="AA77" s="59"/>
      <c r="AB77" s="59"/>
    </row>
    <row r="78" customFormat="false" ht="15.75" hidden="false" customHeight="false" outlineLevel="0" collapsed="false">
      <c r="A78" s="76"/>
      <c r="B78" s="76"/>
      <c r="C78" s="6" t="s">
        <v>19</v>
      </c>
      <c r="D78" s="49"/>
      <c r="E78" s="77" t="n">
        <f aca="false">IFERROR(__xludf.dummyfunction("COUNTA(SPLIT(D78,"" ""))/COUNTA(SPLIT($B$47,"" ""))"),0.00190114068441065)</f>
        <v>0.001901140684</v>
      </c>
      <c r="F78" s="6"/>
      <c r="G78" s="6"/>
      <c r="H78" s="6"/>
      <c r="I78" s="6"/>
      <c r="J78" s="6"/>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76"/>
      <c r="B79" s="76"/>
      <c r="C79" s="6" t="s">
        <v>8</v>
      </c>
      <c r="D79" s="49"/>
      <c r="E79" s="78" t="n">
        <f aca="false">IFERROR(__xludf.dummyfunction("COUNTA(SPLIT(D79,"" ""))/COUNTA(SPLIT($B$47,"" ""))"),0.00190114068441065)</f>
        <v>0.001901140684</v>
      </c>
      <c r="F79" s="6"/>
      <c r="G79" s="6"/>
      <c r="H79" s="6"/>
      <c r="I79" s="6"/>
      <c r="J79" s="6"/>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76"/>
      <c r="B80" s="76"/>
      <c r="C80" s="6" t="s">
        <v>20</v>
      </c>
      <c r="D80" s="49"/>
      <c r="E80" s="79" t="n">
        <f aca="false">IFERROR(__xludf.dummyfunction("COUNTA(SPLIT(D80,"" ""))/COUNTA(SPLIT($B$47,"" ""))"),0.00190114068441065)</f>
        <v>0.001901140684</v>
      </c>
      <c r="F80" s="6"/>
      <c r="G80" s="6"/>
      <c r="H80" s="6"/>
      <c r="I80" s="6"/>
      <c r="J80" s="6"/>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6"/>
      <c r="D81" s="49"/>
      <c r="E81" s="51"/>
      <c r="F81" s="6"/>
      <c r="G81" s="6"/>
      <c r="H81" s="6"/>
      <c r="I81" s="6"/>
      <c r="J81" s="6"/>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76"/>
      <c r="B82" s="55"/>
      <c r="C82" s="56" t="s">
        <v>18</v>
      </c>
      <c r="D82" s="63"/>
      <c r="E82" s="75" t="n">
        <f aca="false">IFERROR(__xludf.dummyfunction("COUNTA(SPLIT(D82,"" ""))/COUNTA(SPLIT($B$47,"" ""))"),0.00190114068441065)</f>
        <v>0.001901140684</v>
      </c>
      <c r="F82" s="56"/>
      <c r="G82" s="56"/>
      <c r="H82" s="56"/>
      <c r="I82" s="56"/>
      <c r="J82" s="56"/>
      <c r="K82" s="59"/>
      <c r="L82" s="59"/>
      <c r="M82" s="59"/>
      <c r="N82" s="59"/>
      <c r="O82" s="59"/>
      <c r="P82" s="59"/>
      <c r="Q82" s="59"/>
      <c r="R82" s="59"/>
      <c r="S82" s="59"/>
      <c r="T82" s="59"/>
      <c r="U82" s="59"/>
      <c r="V82" s="59"/>
      <c r="W82" s="59"/>
      <c r="X82" s="59"/>
      <c r="Y82" s="59"/>
      <c r="Z82" s="59"/>
      <c r="AA82" s="59"/>
      <c r="AB82" s="59"/>
    </row>
    <row r="83" customFormat="false" ht="15.75" hidden="false" customHeight="false" outlineLevel="0" collapsed="false">
      <c r="A83" s="76"/>
      <c r="B83" s="76"/>
      <c r="C83" s="6" t="s">
        <v>19</v>
      </c>
      <c r="D83" s="49"/>
      <c r="E83" s="77" t="n">
        <f aca="false">IFERROR(__xludf.dummyfunction("COUNTA(SPLIT(D83,"" ""))/COUNTA(SPLIT($B$47,"" ""))"),0.00190114068441065)</f>
        <v>0.001901140684</v>
      </c>
      <c r="F83" s="6"/>
      <c r="G83" s="6"/>
      <c r="H83" s="6"/>
      <c r="I83" s="6"/>
      <c r="J83" s="6"/>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76"/>
      <c r="B84" s="76"/>
      <c r="C84" s="6" t="s">
        <v>8</v>
      </c>
      <c r="D84" s="49"/>
      <c r="E84" s="78" t="n">
        <f aca="false">IFERROR(__xludf.dummyfunction("COUNTA(SPLIT(D84,"" ""))/COUNTA(SPLIT($B$47,"" ""))"),0.00190114068441065)</f>
        <v>0.001901140684</v>
      </c>
      <c r="F84" s="6"/>
      <c r="G84" s="6"/>
      <c r="H84" s="6"/>
      <c r="I84" s="6"/>
      <c r="J84" s="6"/>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76"/>
      <c r="B85" s="76"/>
      <c r="C85" s="6" t="s">
        <v>20</v>
      </c>
      <c r="D85" s="49"/>
      <c r="E85" s="79" t="n">
        <f aca="false">IFERROR(__xludf.dummyfunction("COUNTA(SPLIT(D85,"" ""))/COUNTA(SPLIT($B$47,"" ""))"),0.00190114068441065)</f>
        <v>0.001901140684</v>
      </c>
      <c r="F85" s="6"/>
      <c r="G85" s="6"/>
      <c r="H85" s="6"/>
      <c r="I85" s="6"/>
      <c r="J85" s="6"/>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6"/>
      <c r="D86" s="49"/>
      <c r="E86" s="51"/>
      <c r="F86" s="6"/>
      <c r="G86" s="6"/>
      <c r="H86" s="6"/>
      <c r="I86" s="6"/>
      <c r="J86" s="6"/>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76"/>
      <c r="B87" s="55"/>
      <c r="C87" s="56" t="s">
        <v>18</v>
      </c>
      <c r="D87" s="63"/>
      <c r="E87" s="75" t="n">
        <f aca="false">IFERROR(__xludf.dummyfunction("COUNTA(SPLIT(D87,"" ""))/COUNTA(SPLIT($B$47,"" ""))"),0.00190114068441065)</f>
        <v>0.001901140684</v>
      </c>
      <c r="F87" s="56"/>
      <c r="G87" s="56"/>
      <c r="H87" s="56"/>
      <c r="I87" s="56"/>
      <c r="J87" s="56"/>
      <c r="K87" s="59"/>
      <c r="L87" s="59"/>
      <c r="M87" s="59"/>
      <c r="N87" s="59"/>
      <c r="O87" s="59"/>
      <c r="P87" s="59"/>
      <c r="Q87" s="59"/>
      <c r="R87" s="59"/>
      <c r="S87" s="59"/>
      <c r="T87" s="59"/>
      <c r="U87" s="59"/>
      <c r="V87" s="59"/>
      <c r="W87" s="59"/>
      <c r="X87" s="59"/>
      <c r="Y87" s="59"/>
      <c r="Z87" s="59"/>
      <c r="AA87" s="59"/>
      <c r="AB87" s="59"/>
    </row>
    <row r="88" customFormat="false" ht="15.75" hidden="false" customHeight="false" outlineLevel="0" collapsed="false">
      <c r="A88" s="76"/>
      <c r="B88" s="76"/>
      <c r="C88" s="6" t="s">
        <v>19</v>
      </c>
      <c r="D88" s="49"/>
      <c r="E88" s="77" t="n">
        <f aca="false">IFERROR(__xludf.dummyfunction("COUNTA(SPLIT(D88,"" ""))/COUNTA(SPLIT($B$47,"" ""))"),0.00190114068441065)</f>
        <v>0.001901140684</v>
      </c>
      <c r="F88" s="6"/>
      <c r="G88" s="6"/>
      <c r="H88" s="6"/>
      <c r="I88" s="6"/>
      <c r="J88" s="6"/>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76"/>
      <c r="B89" s="76"/>
      <c r="C89" s="6" t="s">
        <v>8</v>
      </c>
      <c r="D89" s="49"/>
      <c r="E89" s="78" t="n">
        <f aca="false">IFERROR(__xludf.dummyfunction("COUNTA(SPLIT(D89,"" ""))/COUNTA(SPLIT($B$47,"" ""))"),0.00190114068441065)</f>
        <v>0.001901140684</v>
      </c>
      <c r="F89" s="6"/>
      <c r="G89" s="6"/>
      <c r="H89" s="6"/>
      <c r="I89" s="6"/>
      <c r="J89" s="6"/>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76"/>
      <c r="B90" s="76"/>
      <c r="C90" s="6" t="s">
        <v>20</v>
      </c>
      <c r="D90" s="49"/>
      <c r="E90" s="79" t="n">
        <f aca="false">IFERROR(__xludf.dummyfunction("COUNTA(SPLIT(D90,"" ""))/COUNTA(SPLIT($B$47,"" ""))"),0.00190114068441065)</f>
        <v>0.001901140684</v>
      </c>
      <c r="F90" s="6"/>
      <c r="G90" s="6"/>
      <c r="H90" s="6"/>
      <c r="I90" s="6"/>
      <c r="J90" s="6"/>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6"/>
      <c r="D91" s="49"/>
      <c r="E91" s="51"/>
      <c r="F91" s="6"/>
      <c r="G91" s="6"/>
      <c r="H91" s="6"/>
      <c r="I91" s="6"/>
      <c r="J91" s="6"/>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76"/>
      <c r="B92" s="55"/>
      <c r="C92" s="56" t="s">
        <v>18</v>
      </c>
      <c r="D92" s="63"/>
      <c r="E92" s="75" t="n">
        <f aca="false">IFERROR(__xludf.dummyfunction("COUNTA(SPLIT(D92,"" ""))/COUNTA(SPLIT($B$47,"" ""))"),0.00190114068441065)</f>
        <v>0.001901140684</v>
      </c>
      <c r="F92" s="56"/>
      <c r="G92" s="56"/>
      <c r="H92" s="56"/>
      <c r="I92" s="56"/>
      <c r="J92" s="56"/>
      <c r="K92" s="59"/>
      <c r="L92" s="59"/>
      <c r="M92" s="59"/>
      <c r="N92" s="59"/>
      <c r="O92" s="59"/>
      <c r="P92" s="59"/>
      <c r="Q92" s="59"/>
      <c r="R92" s="59"/>
      <c r="S92" s="59"/>
      <c r="T92" s="59"/>
      <c r="U92" s="59"/>
      <c r="V92" s="59"/>
      <c r="W92" s="59"/>
      <c r="X92" s="59"/>
      <c r="Y92" s="59"/>
      <c r="Z92" s="59"/>
      <c r="AA92" s="59"/>
      <c r="AB92" s="59"/>
    </row>
    <row r="93" customFormat="false" ht="15.75" hidden="false" customHeight="false" outlineLevel="0" collapsed="false">
      <c r="A93" s="76"/>
      <c r="B93" s="76"/>
      <c r="C93" s="6" t="s">
        <v>19</v>
      </c>
      <c r="D93" s="49"/>
      <c r="E93" s="77" t="n">
        <f aca="false">IFERROR(__xludf.dummyfunction("COUNTA(SPLIT(D93,"" ""))/COUNTA(SPLIT($B$47,"" ""))"),0.00190114068441065)</f>
        <v>0.001901140684</v>
      </c>
      <c r="F93" s="6"/>
      <c r="G93" s="6"/>
      <c r="H93" s="6"/>
      <c r="I93" s="6"/>
      <c r="J93" s="6"/>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76"/>
      <c r="B94" s="76"/>
      <c r="C94" s="6" t="s">
        <v>8</v>
      </c>
      <c r="D94" s="49"/>
      <c r="E94" s="78" t="n">
        <f aca="false">IFERROR(__xludf.dummyfunction("COUNTA(SPLIT(D94,"" ""))/COUNTA(SPLIT($B$47,"" ""))"),0.00190114068441065)</f>
        <v>0.001901140684</v>
      </c>
      <c r="F94" s="6"/>
      <c r="G94" s="6"/>
      <c r="H94" s="6"/>
      <c r="I94" s="6"/>
      <c r="J94" s="6"/>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76"/>
      <c r="B95" s="76"/>
      <c r="C95" s="6" t="s">
        <v>20</v>
      </c>
      <c r="D95" s="49"/>
      <c r="E95" s="79" t="n">
        <f aca="false">IFERROR(__xludf.dummyfunction("COUNTA(SPLIT(D95,"" ""))/COUNTA(SPLIT($B$47,"" ""))"),0.00190114068441065)</f>
        <v>0.001901140684</v>
      </c>
      <c r="F95" s="6"/>
      <c r="G95" s="6"/>
      <c r="H95" s="6"/>
      <c r="I95" s="6"/>
      <c r="J95" s="6"/>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6"/>
      <c r="D96" s="49"/>
      <c r="E96" s="51"/>
      <c r="F96" s="6"/>
      <c r="G96" s="6"/>
      <c r="H96" s="6"/>
      <c r="I96" s="6"/>
      <c r="J96" s="6"/>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76"/>
      <c r="B97" s="55"/>
      <c r="C97" s="56" t="s">
        <v>18</v>
      </c>
      <c r="D97" s="63"/>
      <c r="E97" s="75" t="n">
        <f aca="false">IFERROR(__xludf.dummyfunction("COUNTA(SPLIT(D97,"" ""))/COUNTA(SPLIT($B$47,"" ""))"),0.00190114068441065)</f>
        <v>0.001901140684</v>
      </c>
      <c r="F97" s="56"/>
      <c r="G97" s="56"/>
      <c r="H97" s="56"/>
      <c r="I97" s="56"/>
      <c r="J97" s="56"/>
      <c r="K97" s="59"/>
      <c r="L97" s="59"/>
      <c r="M97" s="59"/>
      <c r="N97" s="59"/>
      <c r="O97" s="59"/>
      <c r="P97" s="59"/>
      <c r="Q97" s="59"/>
      <c r="R97" s="59"/>
      <c r="S97" s="59"/>
      <c r="T97" s="59"/>
      <c r="U97" s="59"/>
      <c r="V97" s="59"/>
      <c r="W97" s="59"/>
      <c r="X97" s="59"/>
      <c r="Y97" s="59"/>
      <c r="Z97" s="59"/>
      <c r="AA97" s="59"/>
      <c r="AB97" s="59"/>
    </row>
    <row r="98" customFormat="false" ht="15.75" hidden="false" customHeight="false" outlineLevel="0" collapsed="false">
      <c r="A98" s="76"/>
      <c r="B98" s="76"/>
      <c r="C98" s="6" t="s">
        <v>19</v>
      </c>
      <c r="D98" s="49"/>
      <c r="E98" s="77" t="n">
        <f aca="false">IFERROR(__xludf.dummyfunction("COUNTA(SPLIT(D98,"" ""))/COUNTA(SPLIT($B$47,"" ""))"),0.00190114068441065)</f>
        <v>0.001901140684</v>
      </c>
      <c r="F98" s="6"/>
      <c r="G98" s="6"/>
      <c r="H98" s="6"/>
      <c r="I98" s="6"/>
      <c r="J98" s="6"/>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76"/>
      <c r="B99" s="76"/>
      <c r="C99" s="6" t="s">
        <v>8</v>
      </c>
      <c r="D99" s="49"/>
      <c r="E99" s="78" t="n">
        <f aca="false">IFERROR(__xludf.dummyfunction("COUNTA(SPLIT(D99,"" ""))/COUNTA(SPLIT($B$47,"" ""))"),0.00190114068441065)</f>
        <v>0.001901140684</v>
      </c>
      <c r="F99" s="6"/>
      <c r="G99" s="6"/>
      <c r="H99" s="6"/>
      <c r="I99" s="6"/>
      <c r="J99" s="6"/>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76"/>
      <c r="B100" s="76"/>
      <c r="C100" s="6" t="s">
        <v>20</v>
      </c>
      <c r="D100" s="49"/>
      <c r="E100" s="79" t="n">
        <f aca="false">IFERROR(__xludf.dummyfunction("COUNTA(SPLIT(D100,"" ""))/COUNTA(SPLIT($B$47,"" ""))"),0.00190114068441065)</f>
        <v>0.001901140684</v>
      </c>
      <c r="F100" s="6"/>
      <c r="G100" s="6"/>
      <c r="H100" s="6"/>
      <c r="I100" s="6"/>
      <c r="J100" s="6"/>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6"/>
      <c r="D101" s="49"/>
      <c r="E101" s="51"/>
      <c r="F101" s="6"/>
      <c r="G101" s="6"/>
      <c r="H101" s="6"/>
      <c r="I101" s="6"/>
      <c r="J101" s="6"/>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76"/>
      <c r="B102" s="55"/>
      <c r="C102" s="56" t="s">
        <v>18</v>
      </c>
      <c r="D102" s="63"/>
      <c r="E102" s="75" t="n">
        <f aca="false">IFERROR(__xludf.dummyfunction("COUNTA(SPLIT(D102,"" ""))/COUNTA(SPLIT($B$47,"" ""))"),0.00190114068441065)</f>
        <v>0.001901140684</v>
      </c>
      <c r="F102" s="56"/>
      <c r="G102" s="56"/>
      <c r="H102" s="56"/>
      <c r="I102" s="56"/>
      <c r="J102" s="56"/>
      <c r="K102" s="59"/>
      <c r="L102" s="59"/>
      <c r="M102" s="59"/>
      <c r="N102" s="59"/>
      <c r="O102" s="59"/>
      <c r="P102" s="59"/>
      <c r="Q102" s="59"/>
      <c r="R102" s="59"/>
      <c r="S102" s="59"/>
      <c r="T102" s="59"/>
      <c r="U102" s="59"/>
      <c r="V102" s="59"/>
      <c r="W102" s="59"/>
      <c r="X102" s="59"/>
      <c r="Y102" s="59"/>
      <c r="Z102" s="59"/>
      <c r="AA102" s="59"/>
      <c r="AB102" s="59"/>
    </row>
    <row r="103" customFormat="false" ht="15.75" hidden="false" customHeight="false" outlineLevel="0" collapsed="false">
      <c r="A103" s="76"/>
      <c r="B103" s="76"/>
      <c r="C103" s="6" t="s">
        <v>19</v>
      </c>
      <c r="D103" s="49"/>
      <c r="E103" s="77" t="n">
        <f aca="false">IFERROR(__xludf.dummyfunction("COUNTA(SPLIT(D103,"" ""))/COUNTA(SPLIT($B$47,"" ""))"),0.00190114068441065)</f>
        <v>0.001901140684</v>
      </c>
      <c r="F103" s="6"/>
      <c r="G103" s="6"/>
      <c r="H103" s="6"/>
      <c r="I103" s="6"/>
      <c r="J103" s="6"/>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76"/>
      <c r="B104" s="76"/>
      <c r="C104" s="6" t="s">
        <v>8</v>
      </c>
      <c r="D104" s="49"/>
      <c r="E104" s="78" t="n">
        <f aca="false">IFERROR(__xludf.dummyfunction("COUNTA(SPLIT(D104,"" ""))/COUNTA(SPLIT($B$47,"" ""))"),0.00190114068441065)</f>
        <v>0.001901140684</v>
      </c>
      <c r="F104" s="6"/>
      <c r="G104" s="6"/>
      <c r="H104" s="6"/>
      <c r="I104" s="6"/>
      <c r="J104" s="6"/>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76"/>
      <c r="B105" s="76"/>
      <c r="C105" s="6" t="s">
        <v>20</v>
      </c>
      <c r="D105" s="49"/>
      <c r="E105" s="79" t="n">
        <f aca="false">IFERROR(__xludf.dummyfunction("COUNTA(SPLIT(D105,"" ""))/COUNTA(SPLIT($B$47,"" ""))"),0.00190114068441065)</f>
        <v>0.001901140684</v>
      </c>
      <c r="F105" s="6"/>
      <c r="G105" s="6"/>
      <c r="H105" s="6"/>
      <c r="I105" s="6"/>
      <c r="J105" s="6"/>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6"/>
      <c r="D106" s="49"/>
      <c r="E106" s="51"/>
      <c r="F106" s="6"/>
      <c r="G106" s="6"/>
      <c r="H106" s="6"/>
      <c r="I106" s="6"/>
      <c r="J106" s="6"/>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76"/>
      <c r="B107" s="55"/>
      <c r="C107" s="56" t="s">
        <v>18</v>
      </c>
      <c r="D107" s="63"/>
      <c r="E107" s="75" t="n">
        <f aca="false">IFERROR(__xludf.dummyfunction("COUNTA(SPLIT(D107,"" ""))/COUNTA(SPLIT($B$47,"" ""))"),0.00190114068441065)</f>
        <v>0.001901140684</v>
      </c>
      <c r="F107" s="56"/>
      <c r="G107" s="56"/>
      <c r="H107" s="56"/>
      <c r="I107" s="56"/>
      <c r="J107" s="56"/>
      <c r="K107" s="59"/>
      <c r="L107" s="59"/>
      <c r="M107" s="59"/>
      <c r="N107" s="59"/>
      <c r="O107" s="59"/>
      <c r="P107" s="59"/>
      <c r="Q107" s="59"/>
      <c r="R107" s="59"/>
      <c r="S107" s="59"/>
      <c r="T107" s="59"/>
      <c r="U107" s="59"/>
      <c r="V107" s="59"/>
      <c r="W107" s="59"/>
      <c r="X107" s="59"/>
      <c r="Y107" s="59"/>
      <c r="Z107" s="59"/>
      <c r="AA107" s="59"/>
      <c r="AB107" s="59"/>
    </row>
    <row r="108" customFormat="false" ht="15.75" hidden="false" customHeight="false" outlineLevel="0" collapsed="false">
      <c r="A108" s="76"/>
      <c r="B108" s="76"/>
      <c r="C108" s="6" t="s">
        <v>19</v>
      </c>
      <c r="D108" s="49"/>
      <c r="E108" s="77" t="n">
        <f aca="false">IFERROR(__xludf.dummyfunction("COUNTA(SPLIT(D108,"" ""))/COUNTA(SPLIT($B$47,"" ""))"),0.00190114068441065)</f>
        <v>0.001901140684</v>
      </c>
      <c r="F108" s="6"/>
      <c r="G108" s="6"/>
      <c r="H108" s="6"/>
      <c r="I108" s="6"/>
      <c r="J108" s="6"/>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76"/>
      <c r="B109" s="76"/>
      <c r="C109" s="6" t="s">
        <v>8</v>
      </c>
      <c r="D109" s="49"/>
      <c r="E109" s="78" t="n">
        <f aca="false">IFERROR(__xludf.dummyfunction("COUNTA(SPLIT(D109,"" ""))/COUNTA(SPLIT($B$47,"" ""))"),0.00190114068441065)</f>
        <v>0.001901140684</v>
      </c>
      <c r="F109" s="6"/>
      <c r="G109" s="6"/>
      <c r="H109" s="6"/>
      <c r="I109" s="6"/>
      <c r="J109" s="6"/>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76"/>
      <c r="B110" s="76"/>
      <c r="C110" s="6" t="s">
        <v>20</v>
      </c>
      <c r="D110" s="49"/>
      <c r="E110" s="79" t="n">
        <f aca="false">IFERROR(__xludf.dummyfunction("COUNTA(SPLIT(D110,"" ""))/COUNTA(SPLIT($B$47,"" ""))"),0.00190114068441065)</f>
        <v>0.001901140684</v>
      </c>
      <c r="F110" s="6"/>
      <c r="G110" s="6"/>
      <c r="H110" s="6"/>
      <c r="I110" s="6"/>
      <c r="J110" s="6"/>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6"/>
      <c r="D111" s="49"/>
      <c r="E111" s="51"/>
      <c r="F111" s="6"/>
      <c r="G111" s="6"/>
      <c r="H111" s="6"/>
      <c r="I111" s="6"/>
      <c r="J111" s="6"/>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76"/>
      <c r="B112" s="55"/>
      <c r="C112" s="56" t="s">
        <v>18</v>
      </c>
      <c r="D112" s="63"/>
      <c r="E112" s="75" t="n">
        <f aca="false">IFERROR(__xludf.dummyfunction("COUNTA(SPLIT(D112,"" ""))/COUNTA(SPLIT($B$47,"" ""))"),0.00190114068441065)</f>
        <v>0.001901140684</v>
      </c>
      <c r="F112" s="56"/>
      <c r="G112" s="56"/>
      <c r="H112" s="56"/>
      <c r="I112" s="56"/>
      <c r="J112" s="56"/>
      <c r="K112" s="59"/>
      <c r="L112" s="59"/>
      <c r="M112" s="59"/>
      <c r="N112" s="59"/>
      <c r="O112" s="59"/>
      <c r="P112" s="59"/>
      <c r="Q112" s="59"/>
      <c r="R112" s="59"/>
      <c r="S112" s="59"/>
      <c r="T112" s="59"/>
      <c r="U112" s="59"/>
      <c r="V112" s="59"/>
      <c r="W112" s="59"/>
      <c r="X112" s="59"/>
      <c r="Y112" s="59"/>
      <c r="Z112" s="59"/>
      <c r="AA112" s="59"/>
      <c r="AB112" s="59"/>
    </row>
    <row r="113" customFormat="false" ht="15.75" hidden="false" customHeight="false" outlineLevel="0" collapsed="false">
      <c r="A113" s="76"/>
      <c r="B113" s="76"/>
      <c r="C113" s="6" t="s">
        <v>19</v>
      </c>
      <c r="D113" s="49"/>
      <c r="E113" s="77" t="n">
        <f aca="false">IFERROR(__xludf.dummyfunction("COUNTA(SPLIT(D113,"" ""))/COUNTA(SPLIT($B$47,"" ""))"),0.00190114068441065)</f>
        <v>0.001901140684</v>
      </c>
      <c r="F113" s="6"/>
      <c r="G113" s="6"/>
      <c r="H113" s="6"/>
      <c r="I113" s="6"/>
      <c r="J113" s="6"/>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76"/>
      <c r="B114" s="76"/>
      <c r="C114" s="6" t="s">
        <v>8</v>
      </c>
      <c r="D114" s="49"/>
      <c r="E114" s="78" t="n">
        <f aca="false">IFERROR(__xludf.dummyfunction("COUNTA(SPLIT(D114,"" ""))/COUNTA(SPLIT($B$47,"" ""))"),0.00190114068441065)</f>
        <v>0.001901140684</v>
      </c>
      <c r="F114" s="6"/>
      <c r="G114" s="6"/>
      <c r="H114" s="6"/>
      <c r="I114" s="6"/>
      <c r="J114" s="6"/>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76"/>
      <c r="B115" s="76"/>
      <c r="C115" s="6" t="s">
        <v>20</v>
      </c>
      <c r="D115" s="49"/>
      <c r="E115" s="79" t="n">
        <f aca="false">IFERROR(__xludf.dummyfunction("COUNTA(SPLIT(D115,"" ""))/COUNTA(SPLIT($B$47,"" ""))"),0.00190114068441065)</f>
        <v>0.001901140684</v>
      </c>
      <c r="F115" s="6"/>
      <c r="G115" s="6"/>
      <c r="H115" s="6"/>
      <c r="I115" s="6"/>
      <c r="J115" s="6"/>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6"/>
      <c r="D116" s="49"/>
      <c r="E116" s="51"/>
      <c r="F116" s="6"/>
      <c r="G116" s="6"/>
      <c r="H116" s="6"/>
      <c r="I116" s="6"/>
      <c r="J116" s="6"/>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76"/>
      <c r="B117" s="55"/>
      <c r="C117" s="56" t="s">
        <v>18</v>
      </c>
      <c r="D117" s="63"/>
      <c r="E117" s="75" t="n">
        <f aca="false">IFERROR(__xludf.dummyfunction("COUNTA(SPLIT(D117,"" ""))/COUNTA(SPLIT($B$47,"" ""))"),0.00190114068441065)</f>
        <v>0.001901140684</v>
      </c>
      <c r="F117" s="56"/>
      <c r="G117" s="56"/>
      <c r="H117" s="56"/>
      <c r="I117" s="56"/>
      <c r="J117" s="56"/>
      <c r="K117" s="59"/>
      <c r="L117" s="59"/>
      <c r="M117" s="59"/>
      <c r="N117" s="59"/>
      <c r="O117" s="59"/>
      <c r="P117" s="59"/>
      <c r="Q117" s="59"/>
      <c r="R117" s="59"/>
      <c r="S117" s="59"/>
      <c r="T117" s="59"/>
      <c r="U117" s="59"/>
      <c r="V117" s="59"/>
      <c r="W117" s="59"/>
      <c r="X117" s="59"/>
      <c r="Y117" s="59"/>
      <c r="Z117" s="59"/>
      <c r="AA117" s="59"/>
      <c r="AB117" s="59"/>
    </row>
    <row r="118" customFormat="false" ht="15.75" hidden="false" customHeight="false" outlineLevel="0" collapsed="false">
      <c r="A118" s="76"/>
      <c r="B118" s="76"/>
      <c r="C118" s="6" t="s">
        <v>19</v>
      </c>
      <c r="D118" s="49"/>
      <c r="E118" s="77" t="n">
        <f aca="false">IFERROR(__xludf.dummyfunction("COUNTA(SPLIT(D118,"" ""))/COUNTA(SPLIT($B$47,"" ""))"),0.00190114068441065)</f>
        <v>0.001901140684</v>
      </c>
      <c r="F118" s="6"/>
      <c r="G118" s="6"/>
      <c r="H118" s="6"/>
      <c r="I118" s="6"/>
      <c r="J118" s="6"/>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76"/>
      <c r="B119" s="76"/>
      <c r="C119" s="6" t="s">
        <v>8</v>
      </c>
      <c r="D119" s="49"/>
      <c r="E119" s="78" t="n">
        <f aca="false">IFERROR(__xludf.dummyfunction("COUNTA(SPLIT(D119,"" ""))/COUNTA(SPLIT($B$47,"" ""))"),0.00190114068441065)</f>
        <v>0.001901140684</v>
      </c>
      <c r="F119" s="6"/>
      <c r="G119" s="6"/>
      <c r="H119" s="6"/>
      <c r="I119" s="6"/>
      <c r="J119" s="6"/>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76"/>
      <c r="B120" s="76"/>
      <c r="C120" s="6" t="s">
        <v>20</v>
      </c>
      <c r="D120" s="49"/>
      <c r="E120" s="79" t="n">
        <f aca="false">IFERROR(__xludf.dummyfunction("COUNTA(SPLIT(D120,"" ""))/COUNTA(SPLIT($B$47,"" ""))"),0.00190114068441065)</f>
        <v>0.001901140684</v>
      </c>
      <c r="F120" s="6"/>
      <c r="G120" s="6"/>
      <c r="H120" s="6"/>
      <c r="I120" s="6"/>
      <c r="J120" s="6"/>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6"/>
      <c r="D121" s="49"/>
      <c r="E121" s="51"/>
      <c r="F121" s="6"/>
      <c r="G121" s="6"/>
      <c r="H121" s="6"/>
      <c r="I121" s="6"/>
      <c r="J121" s="6"/>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76"/>
      <c r="B122" s="55"/>
      <c r="C122" s="56" t="s">
        <v>18</v>
      </c>
      <c r="D122" s="63"/>
      <c r="E122" s="75" t="n">
        <f aca="false">IFERROR(__xludf.dummyfunction("COUNTA(SPLIT(D122,"" ""))/COUNTA(SPLIT($B$47,"" ""))"),0.00190114068441065)</f>
        <v>0.001901140684</v>
      </c>
      <c r="F122" s="56"/>
      <c r="G122" s="56"/>
      <c r="H122" s="56"/>
      <c r="I122" s="56"/>
      <c r="J122" s="56"/>
      <c r="K122" s="59"/>
      <c r="L122" s="59"/>
      <c r="M122" s="59"/>
      <c r="N122" s="59"/>
      <c r="O122" s="59"/>
      <c r="P122" s="59"/>
      <c r="Q122" s="59"/>
      <c r="R122" s="59"/>
      <c r="S122" s="59"/>
      <c r="T122" s="59"/>
      <c r="U122" s="59"/>
      <c r="V122" s="59"/>
      <c r="W122" s="59"/>
      <c r="X122" s="59"/>
      <c r="Y122" s="59"/>
      <c r="Z122" s="59"/>
      <c r="AA122" s="59"/>
      <c r="AB122" s="59"/>
    </row>
    <row r="123" customFormat="false" ht="15.75" hidden="false" customHeight="false" outlineLevel="0" collapsed="false">
      <c r="A123" s="76"/>
      <c r="B123" s="76"/>
      <c r="C123" s="6" t="s">
        <v>19</v>
      </c>
      <c r="D123" s="49"/>
      <c r="E123" s="77" t="n">
        <f aca="false">IFERROR(__xludf.dummyfunction("COUNTA(SPLIT(D123,"" ""))/COUNTA(SPLIT($B$47,"" ""))"),0.00190114068441065)</f>
        <v>0.001901140684</v>
      </c>
      <c r="F123" s="6"/>
      <c r="G123" s="6"/>
      <c r="H123" s="6"/>
      <c r="I123" s="6"/>
      <c r="J123" s="6"/>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76"/>
      <c r="B124" s="76"/>
      <c r="C124" s="6" t="s">
        <v>8</v>
      </c>
      <c r="D124" s="49"/>
      <c r="E124" s="78" t="n">
        <f aca="false">IFERROR(__xludf.dummyfunction("COUNTA(SPLIT(D124,"" ""))/COUNTA(SPLIT($B$47,"" ""))"),0.00190114068441065)</f>
        <v>0.001901140684</v>
      </c>
      <c r="F124" s="6"/>
      <c r="G124" s="6"/>
      <c r="H124" s="6"/>
      <c r="I124" s="6"/>
      <c r="J124" s="6"/>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76"/>
      <c r="B125" s="76"/>
      <c r="C125" s="6" t="s">
        <v>20</v>
      </c>
      <c r="D125" s="49"/>
      <c r="E125" s="79" t="n">
        <f aca="false">IFERROR(__xludf.dummyfunction("COUNTA(SPLIT(D125,"" ""))/COUNTA(SPLIT($B$47,"" ""))"),0.00190114068441065)</f>
        <v>0.001901140684</v>
      </c>
      <c r="F125" s="6"/>
      <c r="G125" s="6"/>
      <c r="H125" s="6"/>
      <c r="I125" s="6"/>
      <c r="J125" s="6"/>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6"/>
      <c r="D126" s="49"/>
      <c r="E126" s="51"/>
      <c r="F126" s="6"/>
      <c r="G126" s="6"/>
      <c r="H126" s="6"/>
      <c r="I126" s="6"/>
      <c r="J126" s="6"/>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76"/>
      <c r="B127" s="55"/>
      <c r="C127" s="56" t="s">
        <v>18</v>
      </c>
      <c r="D127" s="63"/>
      <c r="E127" s="75" t="n">
        <f aca="false">IFERROR(__xludf.dummyfunction("COUNTA(SPLIT(D127,"" ""))/COUNTA(SPLIT($B$47,"" ""))"),0.00190114068441065)</f>
        <v>0.001901140684</v>
      </c>
      <c r="F127" s="56"/>
      <c r="G127" s="56"/>
      <c r="H127" s="56"/>
      <c r="I127" s="56"/>
      <c r="J127" s="56"/>
      <c r="K127" s="59"/>
      <c r="L127" s="59"/>
      <c r="M127" s="59"/>
      <c r="N127" s="59"/>
      <c r="O127" s="59"/>
      <c r="P127" s="59"/>
      <c r="Q127" s="59"/>
      <c r="R127" s="59"/>
      <c r="S127" s="59"/>
      <c r="T127" s="59"/>
      <c r="U127" s="59"/>
      <c r="V127" s="59"/>
      <c r="W127" s="59"/>
      <c r="X127" s="59"/>
      <c r="Y127" s="59"/>
      <c r="Z127" s="59"/>
      <c r="AA127" s="59"/>
      <c r="AB127" s="59"/>
    </row>
    <row r="128" customFormat="false" ht="15.75" hidden="false" customHeight="false" outlineLevel="0" collapsed="false">
      <c r="A128" s="76"/>
      <c r="B128" s="76"/>
      <c r="C128" s="6" t="s">
        <v>19</v>
      </c>
      <c r="D128" s="49"/>
      <c r="E128" s="77" t="n">
        <f aca="false">IFERROR(__xludf.dummyfunction("COUNTA(SPLIT(D128,"" ""))/COUNTA(SPLIT($B$47,"" ""))"),0.00190114068441065)</f>
        <v>0.001901140684</v>
      </c>
      <c r="F128" s="6"/>
      <c r="G128" s="6"/>
      <c r="H128" s="6"/>
      <c r="I128" s="6"/>
      <c r="J128" s="6"/>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76"/>
      <c r="B129" s="76"/>
      <c r="C129" s="6" t="s">
        <v>8</v>
      </c>
      <c r="D129" s="49"/>
      <c r="E129" s="78" t="n">
        <f aca="false">IFERROR(__xludf.dummyfunction("COUNTA(SPLIT(D129,"" ""))/COUNTA(SPLIT($B$47,"" ""))"),0.00190114068441065)</f>
        <v>0.001901140684</v>
      </c>
      <c r="F129" s="6"/>
      <c r="G129" s="6"/>
      <c r="H129" s="6"/>
      <c r="I129" s="6"/>
      <c r="J129" s="6"/>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76"/>
      <c r="B130" s="76"/>
      <c r="C130" s="6" t="s">
        <v>20</v>
      </c>
      <c r="D130" s="49"/>
      <c r="E130" s="79" t="n">
        <f aca="false">IFERROR(__xludf.dummyfunction("COUNTA(SPLIT(D130,"" ""))/COUNTA(SPLIT($B$47,"" ""))"),0.00190114068441065)</f>
        <v>0.001901140684</v>
      </c>
      <c r="F130" s="6"/>
      <c r="G130" s="6"/>
      <c r="H130" s="6"/>
      <c r="I130" s="6"/>
      <c r="J130" s="6"/>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6"/>
      <c r="D131" s="49"/>
      <c r="E131" s="51"/>
      <c r="F131" s="6"/>
      <c r="G131" s="6"/>
      <c r="H131" s="6"/>
      <c r="I131" s="6"/>
      <c r="J131" s="6"/>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76"/>
      <c r="B132" s="55"/>
      <c r="C132" s="56" t="s">
        <v>18</v>
      </c>
      <c r="D132" s="63"/>
      <c r="E132" s="75" t="n">
        <f aca="false">IFERROR(__xludf.dummyfunction("COUNTA(SPLIT(D132,"" ""))/COUNTA(SPLIT($B$47,"" ""))"),0.00190114068441065)</f>
        <v>0.001901140684</v>
      </c>
      <c r="F132" s="56"/>
      <c r="G132" s="56"/>
      <c r="H132" s="56"/>
      <c r="I132" s="56"/>
      <c r="J132" s="56"/>
      <c r="K132" s="59"/>
      <c r="L132" s="59"/>
      <c r="M132" s="59"/>
      <c r="N132" s="59"/>
      <c r="O132" s="59"/>
      <c r="P132" s="59"/>
      <c r="Q132" s="59"/>
      <c r="R132" s="59"/>
      <c r="S132" s="59"/>
      <c r="T132" s="59"/>
      <c r="U132" s="59"/>
      <c r="V132" s="59"/>
      <c r="W132" s="59"/>
      <c r="X132" s="59"/>
      <c r="Y132" s="59"/>
      <c r="Z132" s="59"/>
      <c r="AA132" s="59"/>
      <c r="AB132" s="59"/>
    </row>
    <row r="133" customFormat="false" ht="15.75" hidden="false" customHeight="false" outlineLevel="0" collapsed="false">
      <c r="A133" s="76"/>
      <c r="B133" s="76"/>
      <c r="C133" s="6" t="s">
        <v>19</v>
      </c>
      <c r="D133" s="49"/>
      <c r="E133" s="77" t="n">
        <f aca="false">IFERROR(__xludf.dummyfunction("COUNTA(SPLIT(D133,"" ""))/COUNTA(SPLIT($B$47,"" ""))"),0.00190114068441065)</f>
        <v>0.001901140684</v>
      </c>
      <c r="F133" s="6"/>
      <c r="G133" s="6"/>
      <c r="H133" s="6"/>
      <c r="I133" s="6"/>
      <c r="J133" s="6"/>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76"/>
      <c r="B134" s="76"/>
      <c r="C134" s="6" t="s">
        <v>8</v>
      </c>
      <c r="D134" s="49"/>
      <c r="E134" s="78" t="n">
        <f aca="false">IFERROR(__xludf.dummyfunction("COUNTA(SPLIT(D134,"" ""))/COUNTA(SPLIT($B$47,"" ""))"),0.00190114068441065)</f>
        <v>0.001901140684</v>
      </c>
      <c r="F134" s="6"/>
      <c r="G134" s="6"/>
      <c r="H134" s="6"/>
      <c r="I134" s="6"/>
      <c r="J134" s="6"/>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76"/>
      <c r="B135" s="76"/>
      <c r="C135" s="6" t="s">
        <v>20</v>
      </c>
      <c r="D135" s="49"/>
      <c r="E135" s="79" t="n">
        <f aca="false">IFERROR(__xludf.dummyfunction("COUNTA(SPLIT(D135,"" ""))/COUNTA(SPLIT($B$47,"" ""))"),0.00190114068441065)</f>
        <v>0.001901140684</v>
      </c>
      <c r="F135" s="6"/>
      <c r="G135" s="6"/>
      <c r="H135" s="6"/>
      <c r="I135" s="6"/>
      <c r="J135" s="6"/>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6"/>
      <c r="D136" s="49"/>
      <c r="E136" s="51"/>
      <c r="F136" s="6"/>
      <c r="G136" s="6"/>
      <c r="H136" s="6"/>
      <c r="I136" s="6"/>
      <c r="J136" s="6"/>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76"/>
      <c r="B137" s="55"/>
      <c r="C137" s="56" t="s">
        <v>18</v>
      </c>
      <c r="D137" s="63"/>
      <c r="E137" s="75" t="n">
        <f aca="false">IFERROR(__xludf.dummyfunction("COUNTA(SPLIT(D137,"" ""))/COUNTA(SPLIT($B$47,"" ""))"),0.00190114068441065)</f>
        <v>0.001901140684</v>
      </c>
      <c r="F137" s="56"/>
      <c r="G137" s="56"/>
      <c r="H137" s="56"/>
      <c r="I137" s="56"/>
      <c r="J137" s="56"/>
      <c r="K137" s="59"/>
      <c r="L137" s="59"/>
      <c r="M137" s="59"/>
      <c r="N137" s="59"/>
      <c r="O137" s="59"/>
      <c r="P137" s="59"/>
      <c r="Q137" s="59"/>
      <c r="R137" s="59"/>
      <c r="S137" s="59"/>
      <c r="T137" s="59"/>
      <c r="U137" s="59"/>
      <c r="V137" s="59"/>
      <c r="W137" s="59"/>
      <c r="X137" s="59"/>
      <c r="Y137" s="59"/>
      <c r="Z137" s="59"/>
      <c r="AA137" s="59"/>
      <c r="AB137" s="59"/>
    </row>
    <row r="138" customFormat="false" ht="15.75" hidden="false" customHeight="false" outlineLevel="0" collapsed="false">
      <c r="A138" s="76"/>
      <c r="B138" s="76"/>
      <c r="C138" s="6" t="s">
        <v>19</v>
      </c>
      <c r="D138" s="49"/>
      <c r="E138" s="77" t="n">
        <f aca="false">IFERROR(__xludf.dummyfunction("COUNTA(SPLIT(D138,"" ""))/COUNTA(SPLIT($B$47,"" ""))"),0.00190114068441065)</f>
        <v>0.001901140684</v>
      </c>
      <c r="F138" s="6"/>
      <c r="G138" s="6"/>
      <c r="H138" s="6"/>
      <c r="I138" s="6"/>
      <c r="J138" s="6"/>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76"/>
      <c r="B139" s="76"/>
      <c r="C139" s="6" t="s">
        <v>8</v>
      </c>
      <c r="D139" s="49"/>
      <c r="E139" s="78" t="n">
        <f aca="false">IFERROR(__xludf.dummyfunction("COUNTA(SPLIT(D139,"" ""))/COUNTA(SPLIT($B$47,"" ""))"),0.00190114068441065)</f>
        <v>0.001901140684</v>
      </c>
      <c r="F139" s="6"/>
      <c r="G139" s="6"/>
      <c r="H139" s="6"/>
      <c r="I139" s="6"/>
      <c r="J139" s="6"/>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76"/>
      <c r="B140" s="76"/>
      <c r="C140" s="6" t="s">
        <v>20</v>
      </c>
      <c r="D140" s="49"/>
      <c r="E140" s="79" t="n">
        <f aca="false">IFERROR(__xludf.dummyfunction("COUNTA(SPLIT(D140,"" ""))/COUNTA(SPLIT($B$47,"" ""))"),0.00190114068441065)</f>
        <v>0.001901140684</v>
      </c>
      <c r="F140" s="6"/>
      <c r="G140" s="6"/>
      <c r="H140" s="6"/>
      <c r="I140" s="6"/>
      <c r="J140" s="6"/>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6"/>
      <c r="D141" s="49"/>
      <c r="E141" s="51"/>
      <c r="F141" s="6"/>
      <c r="G141" s="6"/>
      <c r="H141" s="6"/>
      <c r="I141" s="6"/>
      <c r="J141" s="6"/>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76"/>
      <c r="B142" s="55"/>
      <c r="C142" s="56" t="s">
        <v>18</v>
      </c>
      <c r="D142" s="63"/>
      <c r="E142" s="75" t="n">
        <f aca="false">IFERROR(__xludf.dummyfunction("COUNTA(SPLIT(D142,"" ""))/COUNTA(SPLIT($B$47,"" ""))"),0.00190114068441065)</f>
        <v>0.001901140684</v>
      </c>
      <c r="F142" s="56"/>
      <c r="G142" s="56"/>
      <c r="H142" s="56"/>
      <c r="I142" s="56"/>
      <c r="J142" s="56"/>
      <c r="K142" s="59"/>
      <c r="L142" s="59"/>
      <c r="M142" s="59"/>
      <c r="N142" s="59"/>
      <c r="O142" s="59"/>
      <c r="P142" s="59"/>
      <c r="Q142" s="59"/>
      <c r="R142" s="59"/>
      <c r="S142" s="59"/>
      <c r="T142" s="59"/>
      <c r="U142" s="59"/>
      <c r="V142" s="59"/>
      <c r="W142" s="59"/>
      <c r="X142" s="59"/>
      <c r="Y142" s="59"/>
      <c r="Z142" s="59"/>
      <c r="AA142" s="59"/>
      <c r="AB142" s="59"/>
    </row>
    <row r="143" customFormat="false" ht="15.75" hidden="false" customHeight="false" outlineLevel="0" collapsed="false">
      <c r="A143" s="76"/>
      <c r="B143" s="76"/>
      <c r="C143" s="6" t="s">
        <v>19</v>
      </c>
      <c r="D143" s="49"/>
      <c r="E143" s="77" t="n">
        <f aca="false">IFERROR(__xludf.dummyfunction("COUNTA(SPLIT(D143,"" ""))/COUNTA(SPLIT($B$47,"" ""))"),0.00190114068441065)</f>
        <v>0.001901140684</v>
      </c>
      <c r="F143" s="6"/>
      <c r="G143" s="6"/>
      <c r="H143" s="6"/>
      <c r="I143" s="6"/>
      <c r="J143" s="6"/>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76"/>
      <c r="B144" s="76"/>
      <c r="C144" s="6" t="s">
        <v>8</v>
      </c>
      <c r="D144" s="49"/>
      <c r="E144" s="78" t="n">
        <f aca="false">IFERROR(__xludf.dummyfunction("COUNTA(SPLIT(D144,"" ""))/COUNTA(SPLIT($B$47,"" ""))"),0.00190114068441065)</f>
        <v>0.001901140684</v>
      </c>
      <c r="F144" s="6"/>
      <c r="G144" s="6"/>
      <c r="H144" s="6"/>
      <c r="I144" s="6"/>
      <c r="J144" s="6"/>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76"/>
      <c r="B145" s="76"/>
      <c r="C145" s="6" t="s">
        <v>20</v>
      </c>
      <c r="D145" s="49"/>
      <c r="E145" s="79" t="n">
        <f aca="false">IFERROR(__xludf.dummyfunction("COUNTA(SPLIT(D145,"" ""))/COUNTA(SPLIT($B$47,"" ""))"),0.00190114068441065)</f>
        <v>0.001901140684</v>
      </c>
      <c r="F145" s="6"/>
      <c r="G145" s="6"/>
      <c r="H145" s="6"/>
      <c r="I145" s="6"/>
      <c r="J145" s="6"/>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6"/>
      <c r="D146" s="49"/>
      <c r="E146" s="51"/>
      <c r="F146" s="6"/>
      <c r="G146" s="6"/>
      <c r="H146" s="6"/>
      <c r="I146" s="6"/>
      <c r="J146" s="6"/>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76"/>
      <c r="B147" s="55"/>
      <c r="C147" s="56" t="s">
        <v>18</v>
      </c>
      <c r="D147" s="63"/>
      <c r="E147" s="75" t="n">
        <f aca="false">IFERROR(__xludf.dummyfunction("COUNTA(SPLIT(D147,"" ""))/COUNTA(SPLIT($B$47,"" ""))"),0.00190114068441065)</f>
        <v>0.001901140684</v>
      </c>
      <c r="F147" s="56"/>
      <c r="G147" s="56"/>
      <c r="H147" s="56"/>
      <c r="I147" s="56"/>
      <c r="J147" s="56"/>
      <c r="K147" s="59"/>
      <c r="L147" s="59"/>
      <c r="M147" s="59"/>
      <c r="N147" s="59"/>
      <c r="O147" s="59"/>
      <c r="P147" s="59"/>
      <c r="Q147" s="59"/>
      <c r="R147" s="59"/>
      <c r="S147" s="59"/>
      <c r="T147" s="59"/>
      <c r="U147" s="59"/>
      <c r="V147" s="59"/>
      <c r="W147" s="59"/>
      <c r="X147" s="59"/>
      <c r="Y147" s="59"/>
      <c r="Z147" s="59"/>
      <c r="AA147" s="59"/>
      <c r="AB147" s="59"/>
    </row>
    <row r="148" customFormat="false" ht="15.75" hidden="false" customHeight="false" outlineLevel="0" collapsed="false">
      <c r="A148" s="76"/>
      <c r="B148" s="76"/>
      <c r="C148" s="6" t="s">
        <v>19</v>
      </c>
      <c r="D148" s="49"/>
      <c r="E148" s="77" t="n">
        <f aca="false">IFERROR(__xludf.dummyfunction("COUNTA(SPLIT(D148,"" ""))/COUNTA(SPLIT($B$47,"" ""))"),0.00190114068441065)</f>
        <v>0.001901140684</v>
      </c>
      <c r="F148" s="6"/>
      <c r="G148" s="6"/>
      <c r="H148" s="6"/>
      <c r="I148" s="6"/>
      <c r="J148" s="6"/>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76"/>
      <c r="B149" s="76"/>
      <c r="C149" s="6" t="s">
        <v>8</v>
      </c>
      <c r="D149" s="49"/>
      <c r="E149" s="78" t="n">
        <f aca="false">IFERROR(__xludf.dummyfunction("COUNTA(SPLIT(D149,"" ""))/COUNTA(SPLIT($B$47,"" ""))"),0.00190114068441065)</f>
        <v>0.001901140684</v>
      </c>
      <c r="F149" s="6"/>
      <c r="G149" s="6"/>
      <c r="H149" s="6"/>
      <c r="I149" s="6"/>
      <c r="J149" s="6"/>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76"/>
      <c r="B150" s="76"/>
      <c r="C150" s="6" t="s">
        <v>20</v>
      </c>
      <c r="D150" s="49"/>
      <c r="E150" s="79" t="n">
        <f aca="false">IFERROR(__xludf.dummyfunction("COUNTA(SPLIT(D150,"" ""))/COUNTA(SPLIT($B$47,"" ""))"),0.00190114068441065)</f>
        <v>0.001901140684</v>
      </c>
      <c r="F150" s="6"/>
      <c r="G150" s="6"/>
      <c r="H150" s="6"/>
      <c r="I150" s="6"/>
      <c r="J150" s="6"/>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6"/>
      <c r="D151" s="49"/>
      <c r="E151" s="51"/>
      <c r="F151" s="6"/>
      <c r="G151" s="6"/>
      <c r="H151" s="6"/>
      <c r="I151" s="6"/>
      <c r="J151" s="6"/>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76"/>
      <c r="B152" s="55"/>
      <c r="C152" s="56" t="s">
        <v>18</v>
      </c>
      <c r="D152" s="63"/>
      <c r="E152" s="75" t="n">
        <f aca="false">IFERROR(__xludf.dummyfunction("COUNTA(SPLIT(D152,"" ""))/COUNTA(SPLIT($B$47,"" ""))"),0.00190114068441065)</f>
        <v>0.001901140684</v>
      </c>
      <c r="F152" s="56"/>
      <c r="G152" s="56"/>
      <c r="H152" s="56"/>
      <c r="I152" s="56"/>
      <c r="J152" s="56"/>
      <c r="K152" s="59"/>
      <c r="L152" s="59"/>
      <c r="M152" s="59"/>
      <c r="N152" s="59"/>
      <c r="O152" s="59"/>
      <c r="P152" s="59"/>
      <c r="Q152" s="59"/>
      <c r="R152" s="59"/>
      <c r="S152" s="59"/>
      <c r="T152" s="59"/>
      <c r="U152" s="59"/>
      <c r="V152" s="59"/>
      <c r="W152" s="59"/>
      <c r="X152" s="59"/>
      <c r="Y152" s="59"/>
      <c r="Z152" s="59"/>
      <c r="AA152" s="59"/>
      <c r="AB152" s="59"/>
    </row>
    <row r="153" customFormat="false" ht="15.75" hidden="false" customHeight="false" outlineLevel="0" collapsed="false">
      <c r="A153" s="76"/>
      <c r="B153" s="76"/>
      <c r="C153" s="6" t="s">
        <v>19</v>
      </c>
      <c r="D153" s="49"/>
      <c r="E153" s="77" t="n">
        <f aca="false">IFERROR(__xludf.dummyfunction("COUNTA(SPLIT(D153,"" ""))/COUNTA(SPLIT($B$47,"" ""))"),0.00190114068441065)</f>
        <v>0.001901140684</v>
      </c>
      <c r="F153" s="6"/>
      <c r="G153" s="6"/>
      <c r="H153" s="6"/>
      <c r="I153" s="6"/>
      <c r="J153" s="6"/>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76"/>
      <c r="B154" s="76"/>
      <c r="C154" s="6" t="s">
        <v>8</v>
      </c>
      <c r="D154" s="49"/>
      <c r="E154" s="78" t="n">
        <f aca="false">IFERROR(__xludf.dummyfunction("COUNTA(SPLIT(D154,"" ""))/COUNTA(SPLIT($B$47,"" ""))"),0.00190114068441065)</f>
        <v>0.001901140684</v>
      </c>
      <c r="F154" s="6"/>
      <c r="G154" s="6"/>
      <c r="H154" s="6"/>
      <c r="I154" s="6"/>
      <c r="J154" s="6"/>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76"/>
      <c r="B155" s="76"/>
      <c r="C155" s="6" t="s">
        <v>20</v>
      </c>
      <c r="D155" s="49"/>
      <c r="E155" s="79" t="n">
        <f aca="false">IFERROR(__xludf.dummyfunction("COUNTA(SPLIT(D155,"" ""))/COUNTA(SPLIT($B$47,"" ""))"),0.00190114068441065)</f>
        <v>0.001901140684</v>
      </c>
      <c r="F155" s="6"/>
      <c r="G155" s="6"/>
      <c r="H155" s="6"/>
      <c r="I155" s="6"/>
      <c r="J155" s="6"/>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6"/>
      <c r="D156" s="49"/>
      <c r="E156" s="51"/>
      <c r="F156" s="6"/>
      <c r="G156" s="6"/>
      <c r="H156" s="6"/>
      <c r="I156" s="6"/>
      <c r="J156" s="6"/>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76"/>
      <c r="B157" s="55"/>
      <c r="C157" s="56" t="s">
        <v>18</v>
      </c>
      <c r="D157" s="63"/>
      <c r="E157" s="75" t="n">
        <f aca="false">IFERROR(__xludf.dummyfunction("COUNTA(SPLIT(D157,"" ""))/COUNTA(SPLIT($B$47,"" ""))"),0.00190114068441065)</f>
        <v>0.001901140684</v>
      </c>
      <c r="F157" s="56"/>
      <c r="G157" s="56"/>
      <c r="H157" s="56"/>
      <c r="I157" s="56"/>
      <c r="J157" s="56"/>
      <c r="K157" s="59"/>
      <c r="L157" s="59"/>
      <c r="M157" s="59"/>
      <c r="N157" s="59"/>
      <c r="O157" s="59"/>
      <c r="P157" s="59"/>
      <c r="Q157" s="59"/>
      <c r="R157" s="59"/>
      <c r="S157" s="59"/>
      <c r="T157" s="59"/>
      <c r="U157" s="59"/>
      <c r="V157" s="59"/>
      <c r="W157" s="59"/>
      <c r="X157" s="59"/>
      <c r="Y157" s="59"/>
      <c r="Z157" s="59"/>
      <c r="AA157" s="59"/>
      <c r="AB157" s="59"/>
    </row>
    <row r="158" customFormat="false" ht="15.75" hidden="false" customHeight="false" outlineLevel="0" collapsed="false">
      <c r="A158" s="76"/>
      <c r="B158" s="76"/>
      <c r="C158" s="6" t="s">
        <v>19</v>
      </c>
      <c r="D158" s="49"/>
      <c r="E158" s="77" t="n">
        <f aca="false">IFERROR(__xludf.dummyfunction("COUNTA(SPLIT(D158,"" ""))/COUNTA(SPLIT($B$47,"" ""))"),0.00190114068441065)</f>
        <v>0.001901140684</v>
      </c>
      <c r="F158" s="6"/>
      <c r="G158" s="6"/>
      <c r="H158" s="6"/>
      <c r="I158" s="6"/>
      <c r="J158" s="6"/>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76"/>
      <c r="B159" s="76"/>
      <c r="C159" s="6" t="s">
        <v>8</v>
      </c>
      <c r="D159" s="49"/>
      <c r="E159" s="78" t="n">
        <f aca="false">IFERROR(__xludf.dummyfunction("COUNTA(SPLIT(D159,"" ""))/COUNTA(SPLIT($B$47,"" ""))"),0.00190114068441065)</f>
        <v>0.001901140684</v>
      </c>
      <c r="F159" s="6"/>
      <c r="G159" s="6"/>
      <c r="H159" s="6"/>
      <c r="I159" s="6"/>
      <c r="J159" s="6"/>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76"/>
      <c r="B160" s="76"/>
      <c r="C160" s="6" t="s">
        <v>20</v>
      </c>
      <c r="D160" s="49"/>
      <c r="E160" s="79" t="n">
        <f aca="false">IFERROR(__xludf.dummyfunction("COUNTA(SPLIT(D160,"" ""))/COUNTA(SPLIT($B$47,"" ""))"),0.00190114068441065)</f>
        <v>0.001901140684</v>
      </c>
      <c r="F160" s="6"/>
      <c r="G160" s="6"/>
      <c r="H160" s="6"/>
      <c r="I160" s="6"/>
      <c r="J160" s="6"/>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6"/>
      <c r="D161" s="49"/>
      <c r="E161" s="51"/>
      <c r="F161" s="6"/>
      <c r="G161" s="6"/>
      <c r="H161" s="6"/>
      <c r="I161" s="6"/>
      <c r="J161" s="6"/>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76"/>
      <c r="B162" s="55"/>
      <c r="C162" s="56" t="s">
        <v>18</v>
      </c>
      <c r="D162" s="63"/>
      <c r="E162" s="75" t="n">
        <f aca="false">IFERROR(__xludf.dummyfunction("COUNTA(SPLIT(D162,"" ""))/COUNTA(SPLIT($B$47,"" ""))"),0.00190114068441065)</f>
        <v>0.001901140684</v>
      </c>
      <c r="F162" s="56"/>
      <c r="G162" s="56"/>
      <c r="H162" s="56"/>
      <c r="I162" s="56"/>
      <c r="J162" s="56"/>
      <c r="K162" s="59"/>
      <c r="L162" s="59"/>
      <c r="M162" s="59"/>
      <c r="N162" s="59"/>
      <c r="O162" s="59"/>
      <c r="P162" s="59"/>
      <c r="Q162" s="59"/>
      <c r="R162" s="59"/>
      <c r="S162" s="59"/>
      <c r="T162" s="59"/>
      <c r="U162" s="59"/>
      <c r="V162" s="59"/>
      <c r="W162" s="59"/>
      <c r="X162" s="59"/>
      <c r="Y162" s="59"/>
      <c r="Z162" s="59"/>
      <c r="AA162" s="59"/>
      <c r="AB162" s="59"/>
    </row>
    <row r="163" customFormat="false" ht="15.75" hidden="false" customHeight="false" outlineLevel="0" collapsed="false">
      <c r="A163" s="76"/>
      <c r="B163" s="76"/>
      <c r="C163" s="6" t="s">
        <v>19</v>
      </c>
      <c r="D163" s="49"/>
      <c r="E163" s="77" t="n">
        <f aca="false">IFERROR(__xludf.dummyfunction("COUNTA(SPLIT(D163,"" ""))/COUNTA(SPLIT($B$47,"" ""))"),0.00190114068441065)</f>
        <v>0.001901140684</v>
      </c>
      <c r="F163" s="6"/>
      <c r="G163" s="6"/>
      <c r="H163" s="6"/>
      <c r="I163" s="6"/>
      <c r="J163" s="6"/>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76"/>
      <c r="B164" s="76"/>
      <c r="C164" s="6" t="s">
        <v>8</v>
      </c>
      <c r="D164" s="49"/>
      <c r="E164" s="78" t="n">
        <f aca="false">IFERROR(__xludf.dummyfunction("COUNTA(SPLIT(D164,"" ""))/COUNTA(SPLIT($B$47,"" ""))"),0.00190114068441065)</f>
        <v>0.001901140684</v>
      </c>
      <c r="F164" s="6"/>
      <c r="G164" s="6"/>
      <c r="H164" s="6"/>
      <c r="I164" s="6"/>
      <c r="J164" s="6"/>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76"/>
      <c r="B165" s="76"/>
      <c r="C165" s="6" t="s">
        <v>20</v>
      </c>
      <c r="D165" s="49"/>
      <c r="E165" s="79" t="n">
        <f aca="false">IFERROR(__xludf.dummyfunction("COUNTA(SPLIT(D165,"" ""))/COUNTA(SPLIT($B$47,"" ""))"),0.00190114068441065)</f>
        <v>0.001901140684</v>
      </c>
      <c r="F165" s="6"/>
      <c r="G165" s="6"/>
      <c r="H165" s="6"/>
      <c r="I165" s="6"/>
      <c r="J165" s="6"/>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6"/>
      <c r="D166" s="49"/>
      <c r="E166" s="51"/>
      <c r="F166" s="6"/>
      <c r="G166" s="6"/>
      <c r="H166" s="6"/>
      <c r="I166" s="6"/>
      <c r="J166" s="6"/>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6"/>
      <c r="D167" s="49"/>
      <c r="E167" s="51"/>
      <c r="F167" s="6"/>
      <c r="G167" s="6"/>
      <c r="H167" s="6"/>
      <c r="I167" s="6"/>
      <c r="J167" s="6"/>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6"/>
      <c r="D168" s="49"/>
      <c r="E168" s="51"/>
      <c r="F168" s="6"/>
      <c r="G168" s="6"/>
      <c r="H168" s="6"/>
      <c r="I168" s="6"/>
      <c r="J168" s="6"/>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6"/>
      <c r="D169" s="49"/>
      <c r="E169" s="51"/>
      <c r="F169" s="6"/>
      <c r="G169" s="6"/>
      <c r="H169" s="6"/>
      <c r="I169" s="6"/>
      <c r="J169" s="6"/>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6"/>
      <c r="D170" s="49"/>
      <c r="E170" s="51"/>
      <c r="F170" s="6"/>
      <c r="G170" s="6"/>
      <c r="H170" s="6"/>
      <c r="I170" s="6"/>
      <c r="J170" s="6"/>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6"/>
      <c r="D171" s="49"/>
      <c r="E171" s="51"/>
      <c r="F171" s="6"/>
      <c r="G171" s="6"/>
      <c r="H171" s="6"/>
      <c r="I171" s="6"/>
      <c r="J171" s="6"/>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6"/>
      <c r="D172" s="49"/>
      <c r="E172" s="51"/>
      <c r="F172" s="6"/>
      <c r="G172" s="6"/>
      <c r="H172" s="6"/>
      <c r="I172" s="6"/>
      <c r="J172" s="6"/>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6"/>
      <c r="D173" s="49"/>
      <c r="E173" s="51"/>
      <c r="F173" s="6"/>
      <c r="G173" s="6"/>
      <c r="H173" s="6"/>
      <c r="I173" s="6"/>
      <c r="J173" s="6"/>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6"/>
      <c r="D174" s="49"/>
      <c r="E174" s="51"/>
      <c r="F174" s="6"/>
      <c r="G174" s="6"/>
      <c r="H174" s="6"/>
      <c r="I174" s="6"/>
      <c r="J174" s="6"/>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6"/>
      <c r="D175" s="49"/>
      <c r="E175" s="51"/>
      <c r="F175" s="6"/>
      <c r="G175" s="6"/>
      <c r="H175" s="6"/>
      <c r="I175" s="6"/>
      <c r="J175" s="6"/>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6"/>
      <c r="D176" s="49"/>
      <c r="E176" s="51"/>
      <c r="F176" s="6"/>
      <c r="G176" s="6"/>
      <c r="H176" s="6"/>
      <c r="I176" s="6"/>
      <c r="J176" s="6"/>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6"/>
      <c r="D177" s="49"/>
      <c r="E177" s="51"/>
      <c r="F177" s="6"/>
      <c r="G177" s="6"/>
      <c r="H177" s="6"/>
      <c r="I177" s="6"/>
      <c r="J177" s="6"/>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6"/>
      <c r="D178" s="49"/>
      <c r="E178" s="51"/>
      <c r="F178" s="6"/>
      <c r="G178" s="6"/>
      <c r="H178" s="6"/>
      <c r="I178" s="6"/>
      <c r="J178" s="6"/>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6"/>
      <c r="D179" s="49"/>
      <c r="E179" s="51"/>
      <c r="F179" s="6"/>
      <c r="G179" s="6"/>
      <c r="H179" s="6"/>
      <c r="I179" s="6"/>
      <c r="J179" s="6"/>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6"/>
      <c r="D180" s="49"/>
      <c r="E180" s="51"/>
      <c r="F180" s="6"/>
      <c r="G180" s="6"/>
      <c r="H180" s="6"/>
      <c r="I180" s="6"/>
      <c r="J180" s="6"/>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6"/>
      <c r="D181" s="49"/>
      <c r="E181" s="51"/>
      <c r="F181" s="6"/>
      <c r="G181" s="6"/>
      <c r="H181" s="6"/>
      <c r="I181" s="6"/>
      <c r="J181" s="6"/>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6"/>
      <c r="D182" s="49"/>
      <c r="E182" s="51"/>
      <c r="F182" s="6"/>
      <c r="G182" s="6"/>
      <c r="H182" s="6"/>
      <c r="I182" s="6"/>
      <c r="J182" s="6"/>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6"/>
      <c r="D183" s="49"/>
      <c r="E183" s="51"/>
      <c r="F183" s="6"/>
      <c r="G183" s="6"/>
      <c r="H183" s="6"/>
      <c r="I183" s="6"/>
      <c r="J183" s="6"/>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6"/>
      <c r="D184" s="49"/>
      <c r="E184" s="51"/>
      <c r="F184" s="6"/>
      <c r="G184" s="6"/>
      <c r="H184" s="6"/>
      <c r="I184" s="6"/>
      <c r="J184" s="6"/>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6"/>
      <c r="D185" s="49"/>
      <c r="E185" s="51"/>
      <c r="F185" s="6"/>
      <c r="G185" s="6"/>
      <c r="H185" s="6"/>
      <c r="I185" s="6"/>
      <c r="J185" s="6"/>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6"/>
      <c r="D186" s="49"/>
      <c r="E186" s="51"/>
      <c r="F186" s="6"/>
      <c r="G186" s="6"/>
      <c r="H186" s="6"/>
      <c r="I186" s="6"/>
      <c r="J186" s="6"/>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6"/>
      <c r="D187" s="49"/>
      <c r="E187" s="51"/>
      <c r="F187" s="6"/>
      <c r="G187" s="6"/>
      <c r="H187" s="6"/>
      <c r="I187" s="6"/>
      <c r="J187" s="6"/>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6"/>
      <c r="D188" s="49"/>
      <c r="E188" s="51"/>
      <c r="F188" s="6"/>
      <c r="G188" s="6"/>
      <c r="H188" s="6"/>
      <c r="I188" s="6"/>
      <c r="J188" s="6"/>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6"/>
      <c r="D189" s="49"/>
      <c r="E189" s="51"/>
      <c r="F189" s="6"/>
      <c r="G189" s="6"/>
      <c r="H189" s="6"/>
      <c r="I189" s="6"/>
      <c r="J189" s="6"/>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6"/>
      <c r="D190" s="49"/>
      <c r="E190" s="51"/>
      <c r="F190" s="6"/>
      <c r="G190" s="6"/>
      <c r="H190" s="6"/>
      <c r="I190" s="6"/>
      <c r="J190" s="6"/>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6"/>
      <c r="D191" s="49"/>
      <c r="E191" s="51"/>
      <c r="F191" s="6"/>
      <c r="G191" s="6"/>
      <c r="H191" s="6"/>
      <c r="I191" s="6"/>
      <c r="J191" s="6"/>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6"/>
      <c r="D192" s="49"/>
      <c r="E192" s="51"/>
      <c r="F192" s="6"/>
      <c r="G192" s="6"/>
      <c r="H192" s="6"/>
      <c r="I192" s="6"/>
      <c r="J192" s="6"/>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6"/>
      <c r="D193" s="49"/>
      <c r="E193" s="51"/>
      <c r="F193" s="6"/>
      <c r="G193" s="6"/>
      <c r="H193" s="6"/>
      <c r="I193" s="6"/>
      <c r="J193" s="6"/>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6"/>
      <c r="D194" s="49"/>
      <c r="E194" s="51"/>
      <c r="F194" s="6"/>
      <c r="G194" s="6"/>
      <c r="H194" s="6"/>
      <c r="I194" s="6"/>
      <c r="J194" s="6"/>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6"/>
      <c r="D195" s="49"/>
      <c r="E195" s="51"/>
      <c r="F195" s="6"/>
      <c r="G195" s="6"/>
      <c r="H195" s="6"/>
      <c r="I195" s="6"/>
      <c r="J195" s="6"/>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6"/>
      <c r="D196" s="49"/>
      <c r="E196" s="51"/>
      <c r="F196" s="6"/>
      <c r="G196" s="6"/>
      <c r="H196" s="6"/>
      <c r="I196" s="6"/>
      <c r="J196" s="6"/>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6"/>
      <c r="D197" s="49"/>
      <c r="E197" s="51"/>
      <c r="F197" s="6"/>
      <c r="G197" s="6"/>
      <c r="H197" s="6"/>
      <c r="I197" s="6"/>
      <c r="J197" s="6"/>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6"/>
      <c r="D198" s="49"/>
      <c r="E198" s="51"/>
      <c r="F198" s="6"/>
      <c r="G198" s="6"/>
      <c r="H198" s="6"/>
      <c r="I198" s="6"/>
      <c r="J198" s="6"/>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6"/>
      <c r="D199" s="49"/>
      <c r="E199" s="51"/>
      <c r="F199" s="6"/>
      <c r="G199" s="6"/>
      <c r="H199" s="6"/>
      <c r="I199" s="6"/>
      <c r="J199" s="6"/>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6"/>
      <c r="D200" s="49"/>
      <c r="E200" s="51"/>
      <c r="F200" s="6"/>
      <c r="G200" s="6"/>
      <c r="H200" s="6"/>
      <c r="I200" s="6"/>
      <c r="J200" s="6"/>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6"/>
      <c r="D201" s="49"/>
      <c r="E201" s="51"/>
      <c r="F201" s="6"/>
      <c r="G201" s="6"/>
      <c r="H201" s="6"/>
      <c r="I201" s="6"/>
      <c r="J201" s="6"/>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6"/>
      <c r="D202" s="49"/>
      <c r="E202" s="51"/>
      <c r="F202" s="6"/>
      <c r="G202" s="6"/>
      <c r="H202" s="6"/>
      <c r="I202" s="6"/>
      <c r="J202" s="6"/>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6"/>
      <c r="D203" s="49"/>
      <c r="E203" s="51"/>
      <c r="F203" s="6"/>
      <c r="G203" s="6"/>
      <c r="H203" s="6"/>
      <c r="I203" s="6"/>
      <c r="J203" s="6"/>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6"/>
      <c r="D204" s="49"/>
      <c r="E204" s="51"/>
      <c r="F204" s="6"/>
      <c r="G204" s="6"/>
      <c r="H204" s="6"/>
      <c r="I204" s="6"/>
      <c r="J204" s="6"/>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6"/>
      <c r="D205" s="49"/>
      <c r="E205" s="51"/>
      <c r="F205" s="6"/>
      <c r="G205" s="6"/>
      <c r="H205" s="6"/>
      <c r="I205" s="6"/>
      <c r="J205" s="6"/>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6"/>
      <c r="D206" s="49"/>
      <c r="E206" s="51"/>
      <c r="F206" s="6"/>
      <c r="G206" s="6"/>
      <c r="H206" s="6"/>
      <c r="I206" s="6"/>
      <c r="J206" s="6"/>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6"/>
      <c r="D207" s="49"/>
      <c r="E207" s="51"/>
      <c r="F207" s="6"/>
      <c r="G207" s="6"/>
      <c r="H207" s="6"/>
      <c r="I207" s="6"/>
      <c r="J207" s="6"/>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6"/>
      <c r="D208" s="49"/>
      <c r="E208" s="51"/>
      <c r="F208" s="6"/>
      <c r="G208" s="6"/>
      <c r="H208" s="6"/>
      <c r="I208" s="6"/>
      <c r="J208" s="6"/>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6"/>
      <c r="D209" s="49"/>
      <c r="E209" s="51"/>
      <c r="F209" s="6"/>
      <c r="G209" s="6"/>
      <c r="H209" s="6"/>
      <c r="I209" s="6"/>
      <c r="J209" s="6"/>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6"/>
      <c r="D210" s="49"/>
      <c r="E210" s="51"/>
      <c r="F210" s="6"/>
      <c r="G210" s="6"/>
      <c r="H210" s="6"/>
      <c r="I210" s="6"/>
      <c r="J210" s="6"/>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6"/>
      <c r="D211" s="49"/>
      <c r="E211" s="51"/>
      <c r="F211" s="6"/>
      <c r="G211" s="6"/>
      <c r="H211" s="6"/>
      <c r="I211" s="6"/>
      <c r="J211" s="6"/>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6"/>
      <c r="D212" s="49"/>
      <c r="E212" s="51"/>
      <c r="F212" s="6"/>
      <c r="G212" s="6"/>
      <c r="H212" s="6"/>
      <c r="I212" s="6"/>
      <c r="J212" s="6"/>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6"/>
      <c r="D213" s="49"/>
      <c r="E213" s="51"/>
      <c r="F213" s="6"/>
      <c r="G213" s="6"/>
      <c r="H213" s="6"/>
      <c r="I213" s="6"/>
      <c r="J213" s="6"/>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6"/>
      <c r="D214" s="49"/>
      <c r="E214" s="51"/>
      <c r="F214" s="6"/>
      <c r="G214" s="6"/>
      <c r="H214" s="6"/>
      <c r="I214" s="6"/>
      <c r="J214" s="6"/>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6"/>
      <c r="D215" s="49"/>
      <c r="E215" s="51"/>
      <c r="F215" s="6"/>
      <c r="G215" s="6"/>
      <c r="H215" s="6"/>
      <c r="I215" s="6"/>
      <c r="J215" s="6"/>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6"/>
      <c r="D216" s="49"/>
      <c r="E216" s="51"/>
      <c r="F216" s="6"/>
      <c r="G216" s="6"/>
      <c r="H216" s="6"/>
      <c r="I216" s="6"/>
      <c r="J216" s="6"/>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6"/>
      <c r="D217" s="49"/>
      <c r="E217" s="51"/>
      <c r="F217" s="6"/>
      <c r="G217" s="6"/>
      <c r="H217" s="6"/>
      <c r="I217" s="6"/>
      <c r="J217" s="6"/>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6"/>
      <c r="D218" s="49"/>
      <c r="E218" s="51"/>
      <c r="F218" s="6"/>
      <c r="G218" s="6"/>
      <c r="H218" s="6"/>
      <c r="I218" s="6"/>
      <c r="J218" s="6"/>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6"/>
      <c r="D219" s="49"/>
      <c r="E219" s="51"/>
      <c r="F219" s="6"/>
      <c r="G219" s="6"/>
      <c r="H219" s="6"/>
      <c r="I219" s="6"/>
      <c r="J219" s="6"/>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6"/>
      <c r="D220" s="49"/>
      <c r="E220" s="51"/>
      <c r="F220" s="6"/>
      <c r="G220" s="6"/>
      <c r="H220" s="6"/>
      <c r="I220" s="6"/>
      <c r="J220" s="6"/>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6"/>
      <c r="D221" s="49"/>
      <c r="E221" s="51"/>
      <c r="F221" s="6"/>
      <c r="G221" s="6"/>
      <c r="H221" s="6"/>
      <c r="I221" s="6"/>
      <c r="J221" s="6"/>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6"/>
      <c r="D222" s="49"/>
      <c r="E222" s="51"/>
      <c r="F222" s="6"/>
      <c r="G222" s="6"/>
      <c r="H222" s="6"/>
      <c r="I222" s="6"/>
      <c r="J222" s="6"/>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6"/>
      <c r="D223" s="49"/>
      <c r="E223" s="51"/>
      <c r="F223" s="6"/>
      <c r="G223" s="6"/>
      <c r="H223" s="6"/>
      <c r="I223" s="6"/>
      <c r="J223" s="6"/>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6"/>
      <c r="D224" s="49"/>
      <c r="E224" s="51"/>
      <c r="F224" s="6"/>
      <c r="G224" s="6"/>
      <c r="H224" s="6"/>
      <c r="I224" s="6"/>
      <c r="J224" s="6"/>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6"/>
      <c r="D225" s="49"/>
      <c r="E225" s="51"/>
      <c r="F225" s="6"/>
      <c r="G225" s="6"/>
      <c r="H225" s="6"/>
      <c r="I225" s="6"/>
      <c r="J225" s="6"/>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6"/>
      <c r="D226" s="49"/>
      <c r="E226" s="51"/>
      <c r="F226" s="6"/>
      <c r="G226" s="6"/>
      <c r="H226" s="6"/>
      <c r="I226" s="6"/>
      <c r="J226" s="6"/>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6"/>
      <c r="D227" s="49"/>
      <c r="E227" s="51"/>
      <c r="F227" s="6"/>
      <c r="G227" s="6"/>
      <c r="H227" s="6"/>
      <c r="I227" s="6"/>
      <c r="J227" s="6"/>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6"/>
      <c r="D228" s="49"/>
      <c r="E228" s="51"/>
      <c r="F228" s="6"/>
      <c r="G228" s="6"/>
      <c r="H228" s="6"/>
      <c r="I228" s="6"/>
      <c r="J228" s="6"/>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6"/>
      <c r="D229" s="49"/>
      <c r="E229" s="51"/>
      <c r="F229" s="6"/>
      <c r="G229" s="6"/>
      <c r="H229" s="6"/>
      <c r="I229" s="6"/>
      <c r="J229" s="6"/>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6"/>
      <c r="D230" s="49"/>
      <c r="E230" s="51"/>
      <c r="F230" s="6"/>
      <c r="G230" s="6"/>
      <c r="H230" s="6"/>
      <c r="I230" s="6"/>
      <c r="J230" s="6"/>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6"/>
      <c r="D231" s="49"/>
      <c r="E231" s="51"/>
      <c r="F231" s="6"/>
      <c r="G231" s="6"/>
      <c r="H231" s="6"/>
      <c r="I231" s="6"/>
      <c r="J231" s="6"/>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6"/>
      <c r="D232" s="49"/>
      <c r="E232" s="51"/>
      <c r="F232" s="6"/>
      <c r="G232" s="6"/>
      <c r="H232" s="6"/>
      <c r="I232" s="6"/>
      <c r="J232" s="6"/>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6"/>
      <c r="D233" s="49"/>
      <c r="E233" s="51"/>
      <c r="F233" s="6"/>
      <c r="G233" s="6"/>
      <c r="H233" s="6"/>
      <c r="I233" s="6"/>
      <c r="J233" s="6"/>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6"/>
      <c r="D234" s="49"/>
      <c r="E234" s="51"/>
      <c r="F234" s="6"/>
      <c r="G234" s="6"/>
      <c r="H234" s="6"/>
      <c r="I234" s="6"/>
      <c r="J234" s="6"/>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6"/>
      <c r="D235" s="49"/>
      <c r="E235" s="51"/>
      <c r="F235" s="6"/>
      <c r="G235" s="6"/>
      <c r="H235" s="6"/>
      <c r="I235" s="6"/>
      <c r="J235" s="6"/>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6"/>
      <c r="D236" s="49"/>
      <c r="E236" s="51"/>
      <c r="F236" s="6"/>
      <c r="G236" s="6"/>
      <c r="H236" s="6"/>
      <c r="I236" s="6"/>
      <c r="J236" s="6"/>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6"/>
      <c r="D237" s="49"/>
      <c r="E237" s="51"/>
      <c r="F237" s="6"/>
      <c r="G237" s="6"/>
      <c r="H237" s="6"/>
      <c r="I237" s="6"/>
      <c r="J237" s="6"/>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6"/>
      <c r="D238" s="49"/>
      <c r="E238" s="51"/>
      <c r="F238" s="6"/>
      <c r="G238" s="6"/>
      <c r="H238" s="6"/>
      <c r="I238" s="6"/>
      <c r="J238" s="6"/>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6"/>
      <c r="D239" s="49"/>
      <c r="E239" s="51"/>
      <c r="F239" s="6"/>
      <c r="G239" s="6"/>
      <c r="H239" s="6"/>
      <c r="I239" s="6"/>
      <c r="J239" s="6"/>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6"/>
      <c r="D240" s="49"/>
      <c r="E240" s="51"/>
      <c r="F240" s="6"/>
      <c r="G240" s="6"/>
      <c r="H240" s="6"/>
      <c r="I240" s="6"/>
      <c r="J240" s="6"/>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6"/>
      <c r="D241" s="49"/>
      <c r="E241" s="51"/>
      <c r="F241" s="6"/>
      <c r="G241" s="6"/>
      <c r="H241" s="6"/>
      <c r="I241" s="6"/>
      <c r="J241" s="6"/>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6"/>
      <c r="D242" s="49"/>
      <c r="E242" s="51"/>
      <c r="F242" s="6"/>
      <c r="G242" s="6"/>
      <c r="H242" s="6"/>
      <c r="I242" s="6"/>
      <c r="J242" s="6"/>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6"/>
      <c r="D243" s="49"/>
      <c r="E243" s="51"/>
      <c r="F243" s="6"/>
      <c r="G243" s="6"/>
      <c r="H243" s="6"/>
      <c r="I243" s="6"/>
      <c r="J243" s="6"/>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6"/>
      <c r="D244" s="49"/>
      <c r="E244" s="51"/>
      <c r="F244" s="6"/>
      <c r="G244" s="6"/>
      <c r="H244" s="6"/>
      <c r="I244" s="6"/>
      <c r="J244" s="6"/>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6"/>
      <c r="D245" s="49"/>
      <c r="E245" s="51"/>
      <c r="F245" s="6"/>
      <c r="G245" s="6"/>
      <c r="H245" s="6"/>
      <c r="I245" s="6"/>
      <c r="J245" s="6"/>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6"/>
      <c r="D246" s="49"/>
      <c r="E246" s="51"/>
      <c r="F246" s="6"/>
      <c r="G246" s="6"/>
      <c r="H246" s="6"/>
      <c r="I246" s="6"/>
      <c r="J246" s="6"/>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6"/>
      <c r="D247" s="49"/>
      <c r="E247" s="51"/>
      <c r="F247" s="6"/>
      <c r="G247" s="6"/>
      <c r="H247" s="6"/>
      <c r="I247" s="6"/>
      <c r="J247" s="6"/>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6"/>
      <c r="D248" s="49"/>
      <c r="E248" s="51"/>
      <c r="F248" s="6"/>
      <c r="G248" s="6"/>
      <c r="H248" s="6"/>
      <c r="I248" s="6"/>
      <c r="J248" s="6"/>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6"/>
      <c r="D249" s="49"/>
      <c r="E249" s="51"/>
      <c r="F249" s="6"/>
      <c r="G249" s="6"/>
      <c r="H249" s="6"/>
      <c r="I249" s="6"/>
      <c r="J249" s="6"/>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6"/>
      <c r="D250" s="49"/>
      <c r="E250" s="51"/>
      <c r="F250" s="6"/>
      <c r="G250" s="6"/>
      <c r="H250" s="6"/>
      <c r="I250" s="6"/>
      <c r="J250" s="6"/>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6"/>
      <c r="D251" s="49"/>
      <c r="E251" s="51"/>
      <c r="F251" s="6"/>
      <c r="G251" s="6"/>
      <c r="H251" s="6"/>
      <c r="I251" s="6"/>
      <c r="J251" s="6"/>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6"/>
      <c r="D252" s="49"/>
      <c r="E252" s="51"/>
      <c r="F252" s="6"/>
      <c r="G252" s="6"/>
      <c r="H252" s="6"/>
      <c r="I252" s="6"/>
      <c r="J252" s="6"/>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6"/>
      <c r="D253" s="49"/>
      <c r="E253" s="51"/>
      <c r="F253" s="6"/>
      <c r="G253" s="6"/>
      <c r="H253" s="6"/>
      <c r="I253" s="6"/>
      <c r="J253" s="6"/>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6"/>
      <c r="D254" s="49"/>
      <c r="E254" s="51"/>
      <c r="F254" s="6"/>
      <c r="G254" s="6"/>
      <c r="H254" s="6"/>
      <c r="I254" s="6"/>
      <c r="J254" s="6"/>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6"/>
      <c r="D255" s="49"/>
      <c r="E255" s="51"/>
      <c r="F255" s="6"/>
      <c r="G255" s="6"/>
      <c r="H255" s="6"/>
      <c r="I255" s="6"/>
      <c r="J255" s="6"/>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6"/>
      <c r="D256" s="49"/>
      <c r="E256" s="51"/>
      <c r="F256" s="6"/>
      <c r="G256" s="6"/>
      <c r="H256" s="6"/>
      <c r="I256" s="6"/>
      <c r="J256" s="6"/>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6"/>
      <c r="D257" s="49"/>
      <c r="E257" s="51"/>
      <c r="F257" s="6"/>
      <c r="G257" s="6"/>
      <c r="H257" s="6"/>
      <c r="I257" s="6"/>
      <c r="J257" s="6"/>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6"/>
      <c r="D258" s="49"/>
      <c r="E258" s="51"/>
      <c r="F258" s="6"/>
      <c r="G258" s="6"/>
      <c r="H258" s="6"/>
      <c r="I258" s="6"/>
      <c r="J258" s="6"/>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6"/>
      <c r="D259" s="49"/>
      <c r="E259" s="51"/>
      <c r="F259" s="6"/>
      <c r="G259" s="6"/>
      <c r="H259" s="6"/>
      <c r="I259" s="6"/>
      <c r="J259" s="6"/>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6"/>
      <c r="D260" s="49"/>
      <c r="E260" s="51"/>
      <c r="F260" s="6"/>
      <c r="G260" s="6"/>
      <c r="H260" s="6"/>
      <c r="I260" s="6"/>
      <c r="J260" s="6"/>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6"/>
      <c r="D261" s="49"/>
      <c r="E261" s="51"/>
      <c r="F261" s="6"/>
      <c r="G261" s="6"/>
      <c r="H261" s="6"/>
      <c r="I261" s="6"/>
      <c r="J261" s="6"/>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6"/>
      <c r="D262" s="49"/>
      <c r="E262" s="51"/>
      <c r="F262" s="6"/>
      <c r="G262" s="6"/>
      <c r="H262" s="6"/>
      <c r="I262" s="6"/>
      <c r="J262" s="6"/>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6"/>
      <c r="D263" s="49"/>
      <c r="E263" s="51"/>
      <c r="F263" s="6"/>
      <c r="G263" s="6"/>
      <c r="H263" s="6"/>
      <c r="I263" s="6"/>
      <c r="J263" s="6"/>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6"/>
      <c r="D264" s="49"/>
      <c r="E264" s="51"/>
      <c r="F264" s="6"/>
      <c r="G264" s="6"/>
      <c r="H264" s="6"/>
      <c r="I264" s="6"/>
      <c r="J264" s="6"/>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6"/>
      <c r="D265" s="49"/>
      <c r="E265" s="51"/>
      <c r="F265" s="6"/>
      <c r="G265" s="6"/>
      <c r="H265" s="6"/>
      <c r="I265" s="6"/>
      <c r="J265" s="6"/>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6"/>
      <c r="D266" s="49"/>
      <c r="E266" s="51"/>
      <c r="F266" s="6"/>
      <c r="G266" s="6"/>
      <c r="H266" s="6"/>
      <c r="I266" s="6"/>
      <c r="J266" s="6"/>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6"/>
      <c r="D267" s="49"/>
      <c r="E267" s="51"/>
      <c r="F267" s="6"/>
      <c r="G267" s="6"/>
      <c r="H267" s="6"/>
      <c r="I267" s="6"/>
      <c r="J267" s="6"/>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6"/>
      <c r="D268" s="49"/>
      <c r="E268" s="51"/>
      <c r="F268" s="6"/>
      <c r="G268" s="6"/>
      <c r="H268" s="6"/>
      <c r="I268" s="6"/>
      <c r="J268" s="6"/>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6"/>
      <c r="D269" s="49"/>
      <c r="E269" s="51"/>
      <c r="F269" s="6"/>
      <c r="G269" s="6"/>
      <c r="H269" s="6"/>
      <c r="I269" s="6"/>
      <c r="J269" s="6"/>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6"/>
      <c r="D270" s="49"/>
      <c r="E270" s="51"/>
      <c r="F270" s="6"/>
      <c r="G270" s="6"/>
      <c r="H270" s="6"/>
      <c r="I270" s="6"/>
      <c r="J270" s="6"/>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6"/>
      <c r="D271" s="49"/>
      <c r="E271" s="51"/>
      <c r="F271" s="6"/>
      <c r="G271" s="6"/>
      <c r="H271" s="6"/>
      <c r="I271" s="6"/>
      <c r="J271" s="6"/>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6"/>
      <c r="D272" s="49"/>
      <c r="E272" s="51"/>
      <c r="F272" s="6"/>
      <c r="G272" s="6"/>
      <c r="H272" s="6"/>
      <c r="I272" s="6"/>
      <c r="J272" s="6"/>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6"/>
      <c r="D273" s="49"/>
      <c r="E273" s="51"/>
      <c r="F273" s="6"/>
      <c r="G273" s="6"/>
      <c r="H273" s="6"/>
      <c r="I273" s="6"/>
      <c r="J273" s="6"/>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6"/>
      <c r="D274" s="49"/>
      <c r="E274" s="51"/>
      <c r="F274" s="6"/>
      <c r="G274" s="6"/>
      <c r="H274" s="6"/>
      <c r="I274" s="6"/>
      <c r="J274" s="6"/>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6"/>
      <c r="D275" s="49"/>
      <c r="E275" s="51"/>
      <c r="F275" s="6"/>
      <c r="G275" s="6"/>
      <c r="H275" s="6"/>
      <c r="I275" s="6"/>
      <c r="J275" s="6"/>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6"/>
      <c r="D276" s="49"/>
      <c r="E276" s="51"/>
      <c r="F276" s="6"/>
      <c r="G276" s="6"/>
      <c r="H276" s="6"/>
      <c r="I276" s="6"/>
      <c r="J276" s="6"/>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6"/>
      <c r="D277" s="49"/>
      <c r="E277" s="51"/>
      <c r="F277" s="6"/>
      <c r="G277" s="6"/>
      <c r="H277" s="6"/>
      <c r="I277" s="6"/>
      <c r="J277" s="6"/>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6"/>
      <c r="D278" s="49"/>
      <c r="E278" s="51"/>
      <c r="F278" s="6"/>
      <c r="G278" s="6"/>
      <c r="H278" s="6"/>
      <c r="I278" s="6"/>
      <c r="J278" s="6"/>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6"/>
      <c r="D279" s="49"/>
      <c r="E279" s="51"/>
      <c r="F279" s="6"/>
      <c r="G279" s="6"/>
      <c r="H279" s="6"/>
      <c r="I279" s="6"/>
      <c r="J279" s="6"/>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6"/>
      <c r="D280" s="49"/>
      <c r="E280" s="51"/>
      <c r="F280" s="6"/>
      <c r="G280" s="6"/>
      <c r="H280" s="6"/>
      <c r="I280" s="6"/>
      <c r="J280" s="6"/>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6"/>
      <c r="D281" s="49"/>
      <c r="E281" s="51"/>
      <c r="F281" s="6"/>
      <c r="G281" s="6"/>
      <c r="H281" s="6"/>
      <c r="I281" s="6"/>
      <c r="J281" s="6"/>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6"/>
      <c r="D282" s="49"/>
      <c r="E282" s="51"/>
      <c r="F282" s="6"/>
      <c r="G282" s="6"/>
      <c r="H282" s="6"/>
      <c r="I282" s="6"/>
      <c r="J282" s="6"/>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6"/>
      <c r="D283" s="49"/>
      <c r="E283" s="51"/>
      <c r="F283" s="6"/>
      <c r="G283" s="6"/>
      <c r="H283" s="6"/>
      <c r="I283" s="6"/>
      <c r="J283" s="6"/>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6"/>
      <c r="D284" s="49"/>
      <c r="E284" s="51"/>
      <c r="F284" s="6"/>
      <c r="G284" s="6"/>
      <c r="H284" s="6"/>
      <c r="I284" s="6"/>
      <c r="J284" s="6"/>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6"/>
      <c r="D285" s="49"/>
      <c r="E285" s="51"/>
      <c r="F285" s="6"/>
      <c r="G285" s="6"/>
      <c r="H285" s="6"/>
      <c r="I285" s="6"/>
      <c r="J285" s="6"/>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6"/>
      <c r="D286" s="49"/>
      <c r="E286" s="51"/>
      <c r="F286" s="6"/>
      <c r="G286" s="6"/>
      <c r="H286" s="6"/>
      <c r="I286" s="6"/>
      <c r="J286" s="6"/>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6"/>
      <c r="D287" s="49"/>
      <c r="E287" s="51"/>
      <c r="F287" s="6"/>
      <c r="G287" s="6"/>
      <c r="H287" s="6"/>
      <c r="I287" s="6"/>
      <c r="J287" s="6"/>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6"/>
      <c r="D288" s="49"/>
      <c r="E288" s="51"/>
      <c r="F288" s="6"/>
      <c r="G288" s="6"/>
      <c r="H288" s="6"/>
      <c r="I288" s="6"/>
      <c r="J288" s="6"/>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6"/>
      <c r="D289" s="49"/>
      <c r="E289" s="51"/>
      <c r="F289" s="6"/>
      <c r="G289" s="6"/>
      <c r="H289" s="6"/>
      <c r="I289" s="6"/>
      <c r="J289" s="6"/>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6"/>
      <c r="D290" s="49"/>
      <c r="E290" s="51"/>
      <c r="F290" s="6"/>
      <c r="G290" s="6"/>
      <c r="H290" s="6"/>
      <c r="I290" s="6"/>
      <c r="J290" s="6"/>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6"/>
      <c r="D291" s="49"/>
      <c r="E291" s="51"/>
      <c r="F291" s="6"/>
      <c r="G291" s="6"/>
      <c r="H291" s="6"/>
      <c r="I291" s="6"/>
      <c r="J291" s="6"/>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6"/>
      <c r="D292" s="49"/>
      <c r="E292" s="51"/>
      <c r="F292" s="6"/>
      <c r="G292" s="6"/>
      <c r="H292" s="6"/>
      <c r="I292" s="6"/>
      <c r="J292" s="6"/>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6"/>
      <c r="D293" s="49"/>
      <c r="E293" s="51"/>
      <c r="F293" s="6"/>
      <c r="G293" s="6"/>
      <c r="H293" s="6"/>
      <c r="I293" s="6"/>
      <c r="J293" s="6"/>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6"/>
      <c r="D294" s="49"/>
      <c r="E294" s="51"/>
      <c r="F294" s="6"/>
      <c r="G294" s="6"/>
      <c r="H294" s="6"/>
      <c r="I294" s="6"/>
      <c r="J294" s="6"/>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6"/>
      <c r="D295" s="49"/>
      <c r="E295" s="51"/>
      <c r="F295" s="6"/>
      <c r="G295" s="6"/>
      <c r="H295" s="6"/>
      <c r="I295" s="6"/>
      <c r="J295" s="6"/>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6"/>
      <c r="D296" s="49"/>
      <c r="E296" s="51"/>
      <c r="F296" s="6"/>
      <c r="G296" s="6"/>
      <c r="H296" s="6"/>
      <c r="I296" s="6"/>
      <c r="J296" s="6"/>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6"/>
      <c r="D297" s="49"/>
      <c r="E297" s="51"/>
      <c r="F297" s="6"/>
      <c r="G297" s="6"/>
      <c r="H297" s="6"/>
      <c r="I297" s="6"/>
      <c r="J297" s="6"/>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6"/>
      <c r="D298" s="49"/>
      <c r="E298" s="51"/>
      <c r="F298" s="6"/>
      <c r="G298" s="6"/>
      <c r="H298" s="6"/>
      <c r="I298" s="6"/>
      <c r="J298" s="6"/>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6"/>
      <c r="D299" s="49"/>
      <c r="E299" s="51"/>
      <c r="F299" s="6"/>
      <c r="G299" s="6"/>
      <c r="H299" s="6"/>
      <c r="I299" s="6"/>
      <c r="J299" s="6"/>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6"/>
      <c r="D300" s="49"/>
      <c r="E300" s="51"/>
      <c r="F300" s="6"/>
      <c r="G300" s="6"/>
      <c r="H300" s="6"/>
      <c r="I300" s="6"/>
      <c r="J300" s="6"/>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6"/>
      <c r="D301" s="49"/>
      <c r="E301" s="51"/>
      <c r="F301" s="6"/>
      <c r="G301" s="6"/>
      <c r="H301" s="6"/>
      <c r="I301" s="6"/>
      <c r="J301" s="6"/>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6"/>
      <c r="D302" s="49"/>
      <c r="E302" s="51"/>
      <c r="F302" s="6"/>
      <c r="G302" s="6"/>
      <c r="H302" s="6"/>
      <c r="I302" s="6"/>
      <c r="J302" s="6"/>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6"/>
      <c r="D303" s="49"/>
      <c r="E303" s="51"/>
      <c r="F303" s="6"/>
      <c r="G303" s="6"/>
      <c r="H303" s="6"/>
      <c r="I303" s="6"/>
      <c r="J303" s="6"/>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6"/>
      <c r="D304" s="49"/>
      <c r="E304" s="51"/>
      <c r="F304" s="6"/>
      <c r="G304" s="6"/>
      <c r="H304" s="6"/>
      <c r="I304" s="6"/>
      <c r="J304" s="6"/>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6"/>
      <c r="D305" s="49"/>
      <c r="E305" s="51"/>
      <c r="F305" s="6"/>
      <c r="G305" s="6"/>
      <c r="H305" s="6"/>
      <c r="I305" s="6"/>
      <c r="J305" s="6"/>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6"/>
      <c r="D306" s="49"/>
      <c r="E306" s="51"/>
      <c r="F306" s="6"/>
      <c r="G306" s="6"/>
      <c r="H306" s="6"/>
      <c r="I306" s="6"/>
      <c r="J306" s="6"/>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6"/>
      <c r="D307" s="49"/>
      <c r="E307" s="51"/>
      <c r="F307" s="6"/>
      <c r="G307" s="6"/>
      <c r="H307" s="6"/>
      <c r="I307" s="6"/>
      <c r="J307" s="6"/>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6"/>
      <c r="D308" s="49"/>
      <c r="E308" s="51"/>
      <c r="F308" s="6"/>
      <c r="G308" s="6"/>
      <c r="H308" s="6"/>
      <c r="I308" s="6"/>
      <c r="J308" s="6"/>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6"/>
      <c r="D309" s="49"/>
      <c r="E309" s="51"/>
      <c r="F309" s="6"/>
      <c r="G309" s="6"/>
      <c r="H309" s="6"/>
      <c r="I309" s="6"/>
      <c r="J309" s="6"/>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6"/>
      <c r="D310" s="49"/>
      <c r="E310" s="51"/>
      <c r="F310" s="6"/>
      <c r="G310" s="6"/>
      <c r="H310" s="6"/>
      <c r="I310" s="6"/>
      <c r="J310" s="6"/>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6"/>
      <c r="D311" s="49"/>
      <c r="E311" s="51"/>
      <c r="F311" s="6"/>
      <c r="G311" s="6"/>
      <c r="H311" s="6"/>
      <c r="I311" s="6"/>
      <c r="J311" s="6"/>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6"/>
      <c r="D312" s="49"/>
      <c r="E312" s="51"/>
      <c r="F312" s="6"/>
      <c r="G312" s="6"/>
      <c r="H312" s="6"/>
      <c r="I312" s="6"/>
      <c r="J312" s="6"/>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6"/>
      <c r="D313" s="49"/>
      <c r="E313" s="51"/>
      <c r="F313" s="6"/>
      <c r="G313" s="6"/>
      <c r="H313" s="6"/>
      <c r="I313" s="6"/>
      <c r="J313" s="6"/>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6"/>
      <c r="D314" s="49"/>
      <c r="E314" s="51"/>
      <c r="F314" s="6"/>
      <c r="G314" s="6"/>
      <c r="H314" s="6"/>
      <c r="I314" s="6"/>
      <c r="J314" s="6"/>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6"/>
      <c r="D315" s="49"/>
      <c r="E315" s="51"/>
      <c r="F315" s="6"/>
      <c r="G315" s="6"/>
      <c r="H315" s="6"/>
      <c r="I315" s="6"/>
      <c r="J315" s="6"/>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6"/>
      <c r="D316" s="49"/>
      <c r="E316" s="51"/>
      <c r="F316" s="6"/>
      <c r="G316" s="6"/>
      <c r="H316" s="6"/>
      <c r="I316" s="6"/>
      <c r="J316" s="6"/>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6"/>
      <c r="D317" s="49"/>
      <c r="E317" s="51"/>
      <c r="F317" s="6"/>
      <c r="G317" s="6"/>
      <c r="H317" s="6"/>
      <c r="I317" s="6"/>
      <c r="J317" s="6"/>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6"/>
      <c r="D318" s="49"/>
      <c r="E318" s="51"/>
      <c r="F318" s="6"/>
      <c r="G318" s="6"/>
      <c r="H318" s="6"/>
      <c r="I318" s="6"/>
      <c r="J318" s="6"/>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6"/>
      <c r="D319" s="49"/>
      <c r="E319" s="51"/>
      <c r="F319" s="6"/>
      <c r="G319" s="6"/>
      <c r="H319" s="6"/>
      <c r="I319" s="6"/>
      <c r="J319" s="6"/>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6"/>
      <c r="D320" s="49"/>
      <c r="E320" s="51"/>
      <c r="F320" s="6"/>
      <c r="G320" s="6"/>
      <c r="H320" s="6"/>
      <c r="I320" s="6"/>
      <c r="J320" s="6"/>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6"/>
      <c r="D321" s="49"/>
      <c r="E321" s="51"/>
      <c r="F321" s="6"/>
      <c r="G321" s="6"/>
      <c r="H321" s="6"/>
      <c r="I321" s="6"/>
      <c r="J321" s="6"/>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6"/>
      <c r="D322" s="49"/>
      <c r="E322" s="51"/>
      <c r="F322" s="6"/>
      <c r="G322" s="6"/>
      <c r="H322" s="6"/>
      <c r="I322" s="6"/>
      <c r="J322" s="6"/>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6"/>
      <c r="D323" s="49"/>
      <c r="E323" s="51"/>
      <c r="F323" s="6"/>
      <c r="G323" s="6"/>
      <c r="H323" s="6"/>
      <c r="I323" s="6"/>
      <c r="J323" s="6"/>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6"/>
      <c r="D324" s="49"/>
      <c r="E324" s="51"/>
      <c r="F324" s="6"/>
      <c r="G324" s="6"/>
      <c r="H324" s="6"/>
      <c r="I324" s="6"/>
      <c r="J324" s="6"/>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6"/>
      <c r="D325" s="49"/>
      <c r="E325" s="51"/>
      <c r="F325" s="6"/>
      <c r="G325" s="6"/>
      <c r="H325" s="6"/>
      <c r="I325" s="6"/>
      <c r="J325" s="6"/>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6"/>
      <c r="D326" s="49"/>
      <c r="E326" s="51"/>
      <c r="F326" s="6"/>
      <c r="G326" s="6"/>
      <c r="H326" s="6"/>
      <c r="I326" s="6"/>
      <c r="J326" s="6"/>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6"/>
      <c r="D327" s="49"/>
      <c r="E327" s="51"/>
      <c r="F327" s="6"/>
      <c r="G327" s="6"/>
      <c r="H327" s="6"/>
      <c r="I327" s="6"/>
      <c r="J327" s="6"/>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6"/>
      <c r="D328" s="49"/>
      <c r="E328" s="51"/>
      <c r="F328" s="6"/>
      <c r="G328" s="6"/>
      <c r="H328" s="6"/>
      <c r="I328" s="6"/>
      <c r="J328" s="6"/>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6"/>
      <c r="D329" s="49"/>
      <c r="E329" s="51"/>
      <c r="F329" s="6"/>
      <c r="G329" s="6"/>
      <c r="H329" s="6"/>
      <c r="I329" s="6"/>
      <c r="J329" s="6"/>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6"/>
      <c r="D330" s="49"/>
      <c r="E330" s="51"/>
      <c r="F330" s="6"/>
      <c r="G330" s="6"/>
      <c r="H330" s="6"/>
      <c r="I330" s="6"/>
      <c r="J330" s="6"/>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6"/>
      <c r="D331" s="49"/>
      <c r="E331" s="51"/>
      <c r="F331" s="6"/>
      <c r="G331" s="6"/>
      <c r="H331" s="6"/>
      <c r="I331" s="6"/>
      <c r="J331" s="6"/>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6"/>
      <c r="D332" s="49"/>
      <c r="E332" s="51"/>
      <c r="F332" s="6"/>
      <c r="G332" s="6"/>
      <c r="H332" s="6"/>
      <c r="I332" s="6"/>
      <c r="J332" s="6"/>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6"/>
      <c r="D333" s="49"/>
      <c r="E333" s="51"/>
      <c r="F333" s="6"/>
      <c r="G333" s="6"/>
      <c r="H333" s="6"/>
      <c r="I333" s="6"/>
      <c r="J333" s="6"/>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6"/>
      <c r="D334" s="49"/>
      <c r="E334" s="51"/>
      <c r="F334" s="6"/>
      <c r="G334" s="6"/>
      <c r="H334" s="6"/>
      <c r="I334" s="6"/>
      <c r="J334" s="6"/>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6"/>
      <c r="D335" s="49"/>
      <c r="E335" s="51"/>
      <c r="F335" s="6"/>
      <c r="G335" s="6"/>
      <c r="H335" s="6"/>
      <c r="I335" s="6"/>
      <c r="J335" s="6"/>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6"/>
      <c r="D336" s="49"/>
      <c r="E336" s="51"/>
      <c r="F336" s="6"/>
      <c r="G336" s="6"/>
      <c r="H336" s="6"/>
      <c r="I336" s="6"/>
      <c r="J336" s="6"/>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6"/>
      <c r="D337" s="49"/>
      <c r="E337" s="51"/>
      <c r="F337" s="6"/>
      <c r="G337" s="6"/>
      <c r="H337" s="6"/>
      <c r="I337" s="6"/>
      <c r="J337" s="6"/>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6"/>
      <c r="D338" s="49"/>
      <c r="E338" s="51"/>
      <c r="F338" s="6"/>
      <c r="G338" s="6"/>
      <c r="H338" s="6"/>
      <c r="I338" s="6"/>
      <c r="J338" s="6"/>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6"/>
      <c r="D339" s="49"/>
      <c r="E339" s="51"/>
      <c r="F339" s="6"/>
      <c r="G339" s="6"/>
      <c r="H339" s="6"/>
      <c r="I339" s="6"/>
      <c r="J339" s="6"/>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6"/>
      <c r="D340" s="49"/>
      <c r="E340" s="51"/>
      <c r="F340" s="6"/>
      <c r="G340" s="6"/>
      <c r="H340" s="6"/>
      <c r="I340" s="6"/>
      <c r="J340" s="6"/>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6"/>
      <c r="D341" s="49"/>
      <c r="E341" s="51"/>
      <c r="F341" s="6"/>
      <c r="G341" s="6"/>
      <c r="H341" s="6"/>
      <c r="I341" s="6"/>
      <c r="J341" s="6"/>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6"/>
      <c r="D342" s="49"/>
      <c r="E342" s="51"/>
      <c r="F342" s="6"/>
      <c r="G342" s="6"/>
      <c r="H342" s="6"/>
      <c r="I342" s="6"/>
      <c r="J342" s="6"/>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6"/>
      <c r="D343" s="49"/>
      <c r="E343" s="51"/>
      <c r="F343" s="6"/>
      <c r="G343" s="6"/>
      <c r="H343" s="6"/>
      <c r="I343" s="6"/>
      <c r="J343" s="6"/>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6"/>
      <c r="D344" s="49"/>
      <c r="E344" s="51"/>
      <c r="F344" s="6"/>
      <c r="G344" s="6"/>
      <c r="H344" s="6"/>
      <c r="I344" s="6"/>
      <c r="J344" s="6"/>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6"/>
      <c r="D345" s="49"/>
      <c r="E345" s="51"/>
      <c r="F345" s="6"/>
      <c r="G345" s="6"/>
      <c r="H345" s="6"/>
      <c r="I345" s="6"/>
      <c r="J345" s="6"/>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6"/>
      <c r="D346" s="49"/>
      <c r="E346" s="51"/>
      <c r="F346" s="6"/>
      <c r="G346" s="6"/>
      <c r="H346" s="6"/>
      <c r="I346" s="6"/>
      <c r="J346" s="6"/>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6"/>
      <c r="D347" s="49"/>
      <c r="E347" s="51"/>
      <c r="F347" s="6"/>
      <c r="G347" s="6"/>
      <c r="H347" s="6"/>
      <c r="I347" s="6"/>
      <c r="J347" s="6"/>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6"/>
      <c r="D348" s="49"/>
      <c r="E348" s="51"/>
      <c r="F348" s="6"/>
      <c r="G348" s="6"/>
      <c r="H348" s="6"/>
      <c r="I348" s="6"/>
      <c r="J348" s="6"/>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6"/>
      <c r="D349" s="49"/>
      <c r="E349" s="51"/>
      <c r="F349" s="6"/>
      <c r="G349" s="6"/>
      <c r="H349" s="6"/>
      <c r="I349" s="6"/>
      <c r="J349" s="6"/>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6"/>
      <c r="D350" s="49"/>
      <c r="E350" s="51"/>
      <c r="F350" s="6"/>
      <c r="G350" s="6"/>
      <c r="H350" s="6"/>
      <c r="I350" s="6"/>
      <c r="J350" s="6"/>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6"/>
      <c r="D351" s="49"/>
      <c r="E351" s="51"/>
      <c r="F351" s="6"/>
      <c r="G351" s="6"/>
      <c r="H351" s="6"/>
      <c r="I351" s="6"/>
      <c r="J351" s="6"/>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6"/>
      <c r="D352" s="49"/>
      <c r="E352" s="51"/>
      <c r="F352" s="6"/>
      <c r="G352" s="6"/>
      <c r="H352" s="6"/>
      <c r="I352" s="6"/>
      <c r="J352" s="6"/>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6"/>
      <c r="D353" s="49"/>
      <c r="E353" s="51"/>
      <c r="F353" s="6"/>
      <c r="G353" s="6"/>
      <c r="H353" s="6"/>
      <c r="I353" s="6"/>
      <c r="J353" s="6"/>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6"/>
      <c r="D354" s="49"/>
      <c r="E354" s="51"/>
      <c r="F354" s="6"/>
      <c r="G354" s="6"/>
      <c r="H354" s="6"/>
      <c r="I354" s="6"/>
      <c r="J354" s="6"/>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6"/>
      <c r="D355" s="49"/>
      <c r="E355" s="51"/>
      <c r="F355" s="6"/>
      <c r="G355" s="6"/>
      <c r="H355" s="6"/>
      <c r="I355" s="6"/>
      <c r="J355" s="6"/>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6"/>
      <c r="D356" s="49"/>
      <c r="E356" s="51"/>
      <c r="F356" s="6"/>
      <c r="G356" s="6"/>
      <c r="H356" s="6"/>
      <c r="I356" s="6"/>
      <c r="J356" s="6"/>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6"/>
      <c r="D357" s="49"/>
      <c r="E357" s="51"/>
      <c r="F357" s="6"/>
      <c r="G357" s="6"/>
      <c r="H357" s="6"/>
      <c r="I357" s="6"/>
      <c r="J357" s="6"/>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6"/>
      <c r="D358" s="49"/>
      <c r="E358" s="51"/>
      <c r="F358" s="6"/>
      <c r="G358" s="6"/>
      <c r="H358" s="6"/>
      <c r="I358" s="6"/>
      <c r="J358" s="6"/>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6"/>
      <c r="D359" s="49"/>
      <c r="E359" s="51"/>
      <c r="F359" s="6"/>
      <c r="G359" s="6"/>
      <c r="H359" s="6"/>
      <c r="I359" s="6"/>
      <c r="J359" s="6"/>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6"/>
      <c r="D360" s="49"/>
      <c r="E360" s="51"/>
      <c r="F360" s="6"/>
      <c r="G360" s="6"/>
      <c r="H360" s="6"/>
      <c r="I360" s="6"/>
      <c r="J360" s="6"/>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6"/>
      <c r="D361" s="49"/>
      <c r="E361" s="51"/>
      <c r="F361" s="6"/>
      <c r="G361" s="6"/>
      <c r="H361" s="6"/>
      <c r="I361" s="6"/>
      <c r="J361" s="6"/>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6"/>
      <c r="D362" s="49"/>
      <c r="E362" s="51"/>
      <c r="F362" s="6"/>
      <c r="G362" s="6"/>
      <c r="H362" s="6"/>
      <c r="I362" s="6"/>
      <c r="J362" s="6"/>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6"/>
      <c r="D363" s="49"/>
      <c r="E363" s="51"/>
      <c r="F363" s="6"/>
      <c r="G363" s="6"/>
      <c r="H363" s="6"/>
      <c r="I363" s="6"/>
      <c r="J363" s="6"/>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6"/>
      <c r="D364" s="49"/>
      <c r="E364" s="51"/>
      <c r="F364" s="6"/>
      <c r="G364" s="6"/>
      <c r="H364" s="6"/>
      <c r="I364" s="6"/>
      <c r="J364" s="6"/>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6"/>
      <c r="D365" s="49"/>
      <c r="E365" s="51"/>
      <c r="F365" s="6"/>
      <c r="G365" s="6"/>
      <c r="H365" s="6"/>
      <c r="I365" s="6"/>
      <c r="J365" s="6"/>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6"/>
      <c r="D366" s="49"/>
      <c r="E366" s="51"/>
      <c r="F366" s="6"/>
      <c r="G366" s="6"/>
      <c r="H366" s="6"/>
      <c r="I366" s="6"/>
      <c r="J366" s="6"/>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6"/>
      <c r="D367" s="49"/>
      <c r="E367" s="51"/>
      <c r="F367" s="6"/>
      <c r="G367" s="6"/>
      <c r="H367" s="6"/>
      <c r="I367" s="6"/>
      <c r="J367" s="6"/>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6"/>
      <c r="D368" s="49"/>
      <c r="E368" s="51"/>
      <c r="F368" s="6"/>
      <c r="G368" s="6"/>
      <c r="H368" s="6"/>
      <c r="I368" s="6"/>
      <c r="J368" s="6"/>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6"/>
      <c r="D369" s="49"/>
      <c r="E369" s="51"/>
      <c r="F369" s="6"/>
      <c r="G369" s="6"/>
      <c r="H369" s="6"/>
      <c r="I369" s="6"/>
      <c r="J369" s="6"/>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6"/>
      <c r="D370" s="49"/>
      <c r="E370" s="51"/>
      <c r="F370" s="6"/>
      <c r="G370" s="6"/>
      <c r="H370" s="6"/>
      <c r="I370" s="6"/>
      <c r="J370" s="6"/>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6"/>
      <c r="D371" s="49"/>
      <c r="E371" s="51"/>
      <c r="F371" s="6"/>
      <c r="G371" s="6"/>
      <c r="H371" s="6"/>
      <c r="I371" s="6"/>
      <c r="J371" s="6"/>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6"/>
      <c r="D372" s="49"/>
      <c r="E372" s="51"/>
      <c r="F372" s="6"/>
      <c r="G372" s="6"/>
      <c r="H372" s="6"/>
      <c r="I372" s="6"/>
      <c r="J372" s="6"/>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6"/>
      <c r="D373" s="49"/>
      <c r="E373" s="51"/>
      <c r="F373" s="6"/>
      <c r="G373" s="6"/>
      <c r="H373" s="6"/>
      <c r="I373" s="6"/>
      <c r="J373" s="6"/>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6"/>
      <c r="D374" s="49"/>
      <c r="E374" s="51"/>
      <c r="F374" s="6"/>
      <c r="G374" s="6"/>
      <c r="H374" s="6"/>
      <c r="I374" s="6"/>
      <c r="J374" s="6"/>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6"/>
      <c r="D375" s="49"/>
      <c r="E375" s="51"/>
      <c r="F375" s="6"/>
      <c r="G375" s="6"/>
      <c r="H375" s="6"/>
      <c r="I375" s="6"/>
      <c r="J375" s="6"/>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6"/>
      <c r="D376" s="49"/>
      <c r="E376" s="51"/>
      <c r="F376" s="6"/>
      <c r="G376" s="6"/>
      <c r="H376" s="6"/>
      <c r="I376" s="6"/>
      <c r="J376" s="6"/>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6"/>
      <c r="D377" s="49"/>
      <c r="E377" s="51"/>
      <c r="F377" s="6"/>
      <c r="G377" s="6"/>
      <c r="H377" s="6"/>
      <c r="I377" s="6"/>
      <c r="J377" s="6"/>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6"/>
      <c r="D378" s="49"/>
      <c r="E378" s="51"/>
      <c r="F378" s="6"/>
      <c r="G378" s="6"/>
      <c r="H378" s="6"/>
      <c r="I378" s="6"/>
      <c r="J378" s="6"/>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6"/>
      <c r="D379" s="49"/>
      <c r="E379" s="51"/>
      <c r="F379" s="6"/>
      <c r="G379" s="6"/>
      <c r="H379" s="6"/>
      <c r="I379" s="6"/>
      <c r="J379" s="6"/>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6"/>
      <c r="D380" s="49"/>
      <c r="E380" s="51"/>
      <c r="F380" s="6"/>
      <c r="G380" s="6"/>
      <c r="H380" s="6"/>
      <c r="I380" s="6"/>
      <c r="J380" s="6"/>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6"/>
      <c r="D381" s="49"/>
      <c r="E381" s="51"/>
      <c r="F381" s="6"/>
      <c r="G381" s="6"/>
      <c r="H381" s="6"/>
      <c r="I381" s="6"/>
      <c r="J381" s="6"/>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6"/>
      <c r="D382" s="49"/>
      <c r="E382" s="51"/>
      <c r="F382" s="6"/>
      <c r="G382" s="6"/>
      <c r="H382" s="6"/>
      <c r="I382" s="6"/>
      <c r="J382" s="6"/>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6"/>
      <c r="D383" s="49"/>
      <c r="E383" s="51"/>
      <c r="F383" s="6"/>
      <c r="G383" s="6"/>
      <c r="H383" s="6"/>
      <c r="I383" s="6"/>
      <c r="J383" s="6"/>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6"/>
      <c r="D384" s="49"/>
      <c r="E384" s="51"/>
      <c r="F384" s="6"/>
      <c r="G384" s="6"/>
      <c r="H384" s="6"/>
      <c r="I384" s="6"/>
      <c r="J384" s="6"/>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6"/>
      <c r="D385" s="49"/>
      <c r="E385" s="51"/>
      <c r="F385" s="6"/>
      <c r="G385" s="6"/>
      <c r="H385" s="6"/>
      <c r="I385" s="6"/>
      <c r="J385" s="6"/>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6"/>
      <c r="D386" s="49"/>
      <c r="E386" s="51"/>
      <c r="F386" s="6"/>
      <c r="G386" s="6"/>
      <c r="H386" s="6"/>
      <c r="I386" s="6"/>
      <c r="J386" s="6"/>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6"/>
      <c r="D387" s="49"/>
      <c r="E387" s="51"/>
      <c r="F387" s="6"/>
      <c r="G387" s="6"/>
      <c r="H387" s="6"/>
      <c r="I387" s="6"/>
      <c r="J387" s="6"/>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6"/>
      <c r="D388" s="49"/>
      <c r="E388" s="51"/>
      <c r="F388" s="6"/>
      <c r="G388" s="6"/>
      <c r="H388" s="6"/>
      <c r="I388" s="6"/>
      <c r="J388" s="6"/>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6"/>
      <c r="D389" s="49"/>
      <c r="E389" s="51"/>
      <c r="F389" s="6"/>
      <c r="G389" s="6"/>
      <c r="H389" s="6"/>
      <c r="I389" s="6"/>
      <c r="J389" s="6"/>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6"/>
      <c r="D390" s="49"/>
      <c r="E390" s="51"/>
      <c r="F390" s="6"/>
      <c r="G390" s="6"/>
      <c r="H390" s="6"/>
      <c r="I390" s="6"/>
      <c r="J390" s="6"/>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6"/>
      <c r="D391" s="49"/>
      <c r="E391" s="51"/>
      <c r="F391" s="6"/>
      <c r="G391" s="6"/>
      <c r="H391" s="6"/>
      <c r="I391" s="6"/>
      <c r="J391" s="6"/>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6"/>
      <c r="D392" s="49"/>
      <c r="E392" s="51"/>
      <c r="F392" s="6"/>
      <c r="G392" s="6"/>
      <c r="H392" s="6"/>
      <c r="I392" s="6"/>
      <c r="J392" s="6"/>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6"/>
      <c r="D393" s="49"/>
      <c r="E393" s="51"/>
      <c r="F393" s="6"/>
      <c r="G393" s="6"/>
      <c r="H393" s="6"/>
      <c r="I393" s="6"/>
      <c r="J393" s="6"/>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6"/>
      <c r="D394" s="49"/>
      <c r="E394" s="51"/>
      <c r="F394" s="6"/>
      <c r="G394" s="6"/>
      <c r="H394" s="6"/>
      <c r="I394" s="6"/>
      <c r="J394" s="6"/>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6"/>
      <c r="D395" s="49"/>
      <c r="E395" s="51"/>
      <c r="F395" s="6"/>
      <c r="G395" s="6"/>
      <c r="H395" s="6"/>
      <c r="I395" s="6"/>
      <c r="J395" s="6"/>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6"/>
      <c r="D396" s="49"/>
      <c r="E396" s="51"/>
      <c r="F396" s="6"/>
      <c r="G396" s="6"/>
      <c r="H396" s="6"/>
      <c r="I396" s="6"/>
      <c r="J396" s="6"/>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6"/>
      <c r="D397" s="49"/>
      <c r="E397" s="51"/>
      <c r="F397" s="6"/>
      <c r="G397" s="6"/>
      <c r="H397" s="6"/>
      <c r="I397" s="6"/>
      <c r="J397" s="6"/>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6"/>
      <c r="D398" s="49"/>
      <c r="E398" s="51"/>
      <c r="F398" s="6"/>
      <c r="G398" s="6"/>
      <c r="H398" s="6"/>
      <c r="I398" s="6"/>
      <c r="J398" s="6"/>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6"/>
      <c r="D399" s="49"/>
      <c r="E399" s="51"/>
      <c r="F399" s="6"/>
      <c r="G399" s="6"/>
      <c r="H399" s="6"/>
      <c r="I399" s="6"/>
      <c r="J399" s="6"/>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6"/>
      <c r="D400" s="49"/>
      <c r="E400" s="51"/>
      <c r="F400" s="6"/>
      <c r="G400" s="6"/>
      <c r="H400" s="6"/>
      <c r="I400" s="6"/>
      <c r="J400" s="6"/>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6"/>
      <c r="D401" s="49"/>
      <c r="E401" s="51"/>
      <c r="F401" s="6"/>
      <c r="G401" s="6"/>
      <c r="H401" s="6"/>
      <c r="I401" s="6"/>
      <c r="J401" s="6"/>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6"/>
      <c r="D402" s="49"/>
      <c r="E402" s="51"/>
      <c r="F402" s="6"/>
      <c r="G402" s="6"/>
      <c r="H402" s="6"/>
      <c r="I402" s="6"/>
      <c r="J402" s="6"/>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6"/>
      <c r="D403" s="49"/>
      <c r="E403" s="51"/>
      <c r="F403" s="6"/>
      <c r="G403" s="6"/>
      <c r="H403" s="6"/>
      <c r="I403" s="6"/>
      <c r="J403" s="6"/>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6"/>
      <c r="D404" s="49"/>
      <c r="E404" s="51"/>
      <c r="F404" s="6"/>
      <c r="G404" s="6"/>
      <c r="H404" s="6"/>
      <c r="I404" s="6"/>
      <c r="J404" s="6"/>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6"/>
      <c r="D405" s="49"/>
      <c r="E405" s="51"/>
      <c r="F405" s="6"/>
      <c r="G405" s="6"/>
      <c r="H405" s="6"/>
      <c r="I405" s="6"/>
      <c r="J405" s="6"/>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6"/>
      <c r="D406" s="49"/>
      <c r="E406" s="51"/>
      <c r="F406" s="6"/>
      <c r="G406" s="6"/>
      <c r="H406" s="6"/>
      <c r="I406" s="6"/>
      <c r="J406" s="6"/>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6"/>
      <c r="D407" s="49"/>
      <c r="E407" s="51"/>
      <c r="F407" s="6"/>
      <c r="G407" s="6"/>
      <c r="H407" s="6"/>
      <c r="I407" s="6"/>
      <c r="J407" s="6"/>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6"/>
      <c r="D408" s="49"/>
      <c r="E408" s="51"/>
      <c r="F408" s="6"/>
      <c r="G408" s="6"/>
      <c r="H408" s="6"/>
      <c r="I408" s="6"/>
      <c r="J408" s="6"/>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6"/>
      <c r="D409" s="49"/>
      <c r="E409" s="51"/>
      <c r="F409" s="6"/>
      <c r="G409" s="6"/>
      <c r="H409" s="6"/>
      <c r="I409" s="6"/>
      <c r="J409" s="6"/>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6"/>
      <c r="D410" s="49"/>
      <c r="E410" s="51"/>
      <c r="F410" s="6"/>
      <c r="G410" s="6"/>
      <c r="H410" s="6"/>
      <c r="I410" s="6"/>
      <c r="J410" s="6"/>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6"/>
      <c r="D411" s="49"/>
      <c r="E411" s="51"/>
      <c r="F411" s="6"/>
      <c r="G411" s="6"/>
      <c r="H411" s="6"/>
      <c r="I411" s="6"/>
      <c r="J411" s="6"/>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6"/>
      <c r="D412" s="49"/>
      <c r="E412" s="51"/>
      <c r="F412" s="6"/>
      <c r="G412" s="6"/>
      <c r="H412" s="6"/>
      <c r="I412" s="6"/>
      <c r="J412" s="6"/>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6"/>
      <c r="D413" s="49"/>
      <c r="E413" s="51"/>
      <c r="F413" s="6"/>
      <c r="G413" s="6"/>
      <c r="H413" s="6"/>
      <c r="I413" s="6"/>
      <c r="J413" s="6"/>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6"/>
      <c r="D414" s="49"/>
      <c r="E414" s="51"/>
      <c r="F414" s="6"/>
      <c r="G414" s="6"/>
      <c r="H414" s="6"/>
      <c r="I414" s="6"/>
      <c r="J414" s="6"/>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6"/>
      <c r="D415" s="49"/>
      <c r="E415" s="51"/>
      <c r="F415" s="6"/>
      <c r="G415" s="6"/>
      <c r="H415" s="6"/>
      <c r="I415" s="6"/>
      <c r="J415" s="6"/>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6"/>
      <c r="D416" s="49"/>
      <c r="E416" s="51"/>
      <c r="F416" s="6"/>
      <c r="G416" s="6"/>
      <c r="H416" s="6"/>
      <c r="I416" s="6"/>
      <c r="J416" s="6"/>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6"/>
      <c r="D417" s="49"/>
      <c r="E417" s="51"/>
      <c r="F417" s="6"/>
      <c r="G417" s="6"/>
      <c r="H417" s="6"/>
      <c r="I417" s="6"/>
      <c r="J417" s="6"/>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6"/>
      <c r="D418" s="49"/>
      <c r="E418" s="51"/>
      <c r="F418" s="6"/>
      <c r="G418" s="6"/>
      <c r="H418" s="6"/>
      <c r="I418" s="6"/>
      <c r="J418" s="6"/>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6"/>
      <c r="D419" s="49"/>
      <c r="E419" s="51"/>
      <c r="F419" s="6"/>
      <c r="G419" s="6"/>
      <c r="H419" s="6"/>
      <c r="I419" s="6"/>
      <c r="J419" s="6"/>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6"/>
      <c r="D420" s="49"/>
      <c r="E420" s="51"/>
      <c r="F420" s="6"/>
      <c r="G420" s="6"/>
      <c r="H420" s="6"/>
      <c r="I420" s="6"/>
      <c r="J420" s="6"/>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6"/>
      <c r="D421" s="49"/>
      <c r="E421" s="51"/>
      <c r="F421" s="6"/>
      <c r="G421" s="6"/>
      <c r="H421" s="6"/>
      <c r="I421" s="6"/>
      <c r="J421" s="6"/>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6"/>
      <c r="D422" s="49"/>
      <c r="E422" s="51"/>
      <c r="F422" s="6"/>
      <c r="G422" s="6"/>
      <c r="H422" s="6"/>
      <c r="I422" s="6"/>
      <c r="J422" s="6"/>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6"/>
      <c r="D423" s="49"/>
      <c r="E423" s="51"/>
      <c r="F423" s="6"/>
      <c r="G423" s="6"/>
      <c r="H423" s="6"/>
      <c r="I423" s="6"/>
      <c r="J423" s="6"/>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6"/>
      <c r="D424" s="49"/>
      <c r="E424" s="51"/>
      <c r="F424" s="6"/>
      <c r="G424" s="6"/>
      <c r="H424" s="6"/>
      <c r="I424" s="6"/>
      <c r="J424" s="6"/>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6"/>
      <c r="D425" s="49"/>
      <c r="E425" s="51"/>
      <c r="F425" s="6"/>
      <c r="G425" s="6"/>
      <c r="H425" s="6"/>
      <c r="I425" s="6"/>
      <c r="J425" s="6"/>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6"/>
      <c r="D426" s="49"/>
      <c r="E426" s="51"/>
      <c r="F426" s="6"/>
      <c r="G426" s="6"/>
      <c r="H426" s="6"/>
      <c r="I426" s="6"/>
      <c r="J426" s="6"/>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6"/>
      <c r="D427" s="49"/>
      <c r="E427" s="51"/>
      <c r="F427" s="6"/>
      <c r="G427" s="6"/>
      <c r="H427" s="6"/>
      <c r="I427" s="6"/>
      <c r="J427" s="6"/>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6"/>
      <c r="D428" s="49"/>
      <c r="E428" s="51"/>
      <c r="F428" s="6"/>
      <c r="G428" s="6"/>
      <c r="H428" s="6"/>
      <c r="I428" s="6"/>
      <c r="J428" s="6"/>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6"/>
      <c r="D429" s="49"/>
      <c r="E429" s="51"/>
      <c r="F429" s="6"/>
      <c r="G429" s="6"/>
      <c r="H429" s="6"/>
      <c r="I429" s="6"/>
      <c r="J429" s="6"/>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6"/>
      <c r="D430" s="49"/>
      <c r="E430" s="51"/>
      <c r="F430" s="6"/>
      <c r="G430" s="6"/>
      <c r="H430" s="6"/>
      <c r="I430" s="6"/>
      <c r="J430" s="6"/>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6"/>
      <c r="D431" s="49"/>
      <c r="E431" s="51"/>
      <c r="F431" s="6"/>
      <c r="G431" s="6"/>
      <c r="H431" s="6"/>
      <c r="I431" s="6"/>
      <c r="J431" s="6"/>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6"/>
      <c r="D432" s="49"/>
      <c r="E432" s="51"/>
      <c r="F432" s="6"/>
      <c r="G432" s="6"/>
      <c r="H432" s="6"/>
      <c r="I432" s="6"/>
      <c r="J432" s="6"/>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6"/>
      <c r="D433" s="49"/>
      <c r="E433" s="51"/>
      <c r="F433" s="6"/>
      <c r="G433" s="6"/>
      <c r="H433" s="6"/>
      <c r="I433" s="6"/>
      <c r="J433" s="6"/>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6"/>
      <c r="D434" s="49"/>
      <c r="E434" s="51"/>
      <c r="F434" s="6"/>
      <c r="G434" s="6"/>
      <c r="H434" s="6"/>
      <c r="I434" s="6"/>
      <c r="J434" s="6"/>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6"/>
      <c r="D435" s="49"/>
      <c r="E435" s="51"/>
      <c r="F435" s="6"/>
      <c r="G435" s="6"/>
      <c r="H435" s="6"/>
      <c r="I435" s="6"/>
      <c r="J435" s="6"/>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6"/>
      <c r="D436" s="49"/>
      <c r="E436" s="51"/>
      <c r="F436" s="6"/>
      <c r="G436" s="6"/>
      <c r="H436" s="6"/>
      <c r="I436" s="6"/>
      <c r="J436" s="6"/>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6"/>
      <c r="D437" s="49"/>
      <c r="E437" s="51"/>
      <c r="F437" s="6"/>
      <c r="G437" s="6"/>
      <c r="H437" s="6"/>
      <c r="I437" s="6"/>
      <c r="J437" s="6"/>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6"/>
      <c r="D438" s="49"/>
      <c r="E438" s="51"/>
      <c r="F438" s="6"/>
      <c r="G438" s="6"/>
      <c r="H438" s="6"/>
      <c r="I438" s="6"/>
      <c r="J438" s="6"/>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6"/>
      <c r="D439" s="49"/>
      <c r="E439" s="51"/>
      <c r="F439" s="6"/>
      <c r="G439" s="6"/>
      <c r="H439" s="6"/>
      <c r="I439" s="6"/>
      <c r="J439" s="6"/>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6"/>
      <c r="D440" s="49"/>
      <c r="E440" s="51"/>
      <c r="F440" s="6"/>
      <c r="G440" s="6"/>
      <c r="H440" s="6"/>
      <c r="I440" s="6"/>
      <c r="J440" s="6"/>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6"/>
      <c r="D441" s="49"/>
      <c r="E441" s="51"/>
      <c r="F441" s="6"/>
      <c r="G441" s="6"/>
      <c r="H441" s="6"/>
      <c r="I441" s="6"/>
      <c r="J441" s="6"/>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6"/>
      <c r="D442" s="49"/>
      <c r="E442" s="51"/>
      <c r="F442" s="6"/>
      <c r="G442" s="6"/>
      <c r="H442" s="6"/>
      <c r="I442" s="6"/>
      <c r="J442" s="6"/>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6"/>
      <c r="D443" s="49"/>
      <c r="E443" s="51"/>
      <c r="F443" s="6"/>
      <c r="G443" s="6"/>
      <c r="H443" s="6"/>
      <c r="I443" s="6"/>
      <c r="J443" s="6"/>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6"/>
      <c r="D444" s="49"/>
      <c r="E444" s="51"/>
      <c r="F444" s="6"/>
      <c r="G444" s="6"/>
      <c r="H444" s="6"/>
      <c r="I444" s="6"/>
      <c r="J444" s="6"/>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6"/>
      <c r="D445" s="49"/>
      <c r="E445" s="51"/>
      <c r="F445" s="6"/>
      <c r="G445" s="6"/>
      <c r="H445" s="6"/>
      <c r="I445" s="6"/>
      <c r="J445" s="6"/>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6"/>
      <c r="D446" s="49"/>
      <c r="E446" s="51"/>
      <c r="F446" s="6"/>
      <c r="G446" s="6"/>
      <c r="H446" s="6"/>
      <c r="I446" s="6"/>
      <c r="J446" s="6"/>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6"/>
      <c r="D447" s="49"/>
      <c r="E447" s="51"/>
      <c r="F447" s="6"/>
      <c r="G447" s="6"/>
      <c r="H447" s="6"/>
      <c r="I447" s="6"/>
      <c r="J447" s="6"/>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6"/>
      <c r="D448" s="49"/>
      <c r="E448" s="51"/>
      <c r="F448" s="6"/>
      <c r="G448" s="6"/>
      <c r="H448" s="6"/>
      <c r="I448" s="6"/>
      <c r="J448" s="6"/>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6"/>
      <c r="D449" s="49"/>
      <c r="E449" s="51"/>
      <c r="F449" s="6"/>
      <c r="G449" s="6"/>
      <c r="H449" s="6"/>
      <c r="I449" s="6"/>
      <c r="J449" s="6"/>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6"/>
      <c r="D450" s="49"/>
      <c r="E450" s="51"/>
      <c r="F450" s="6"/>
      <c r="G450" s="6"/>
      <c r="H450" s="6"/>
      <c r="I450" s="6"/>
      <c r="J450" s="6"/>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6"/>
      <c r="D451" s="49"/>
      <c r="E451" s="51"/>
      <c r="F451" s="6"/>
      <c r="G451" s="6"/>
      <c r="H451" s="6"/>
      <c r="I451" s="6"/>
      <c r="J451" s="6"/>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6"/>
      <c r="D452" s="49"/>
      <c r="E452" s="51"/>
      <c r="F452" s="6"/>
      <c r="G452" s="6"/>
      <c r="H452" s="6"/>
      <c r="I452" s="6"/>
      <c r="J452" s="6"/>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6"/>
      <c r="D453" s="49"/>
      <c r="E453" s="51"/>
      <c r="F453" s="6"/>
      <c r="G453" s="6"/>
      <c r="H453" s="6"/>
      <c r="I453" s="6"/>
      <c r="J453" s="6"/>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6"/>
      <c r="D454" s="49"/>
      <c r="E454" s="51"/>
      <c r="F454" s="6"/>
      <c r="G454" s="6"/>
      <c r="H454" s="6"/>
      <c r="I454" s="6"/>
      <c r="J454" s="6"/>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6"/>
      <c r="D455" s="49"/>
      <c r="E455" s="51"/>
      <c r="F455" s="6"/>
      <c r="G455" s="6"/>
      <c r="H455" s="6"/>
      <c r="I455" s="6"/>
      <c r="J455" s="6"/>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6"/>
      <c r="D456" s="49"/>
      <c r="E456" s="51"/>
      <c r="F456" s="6"/>
      <c r="G456" s="6"/>
      <c r="H456" s="6"/>
      <c r="I456" s="6"/>
      <c r="J456" s="6"/>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6"/>
      <c r="D457" s="49"/>
      <c r="E457" s="51"/>
      <c r="F457" s="6"/>
      <c r="G457" s="6"/>
      <c r="H457" s="6"/>
      <c r="I457" s="6"/>
      <c r="J457" s="6"/>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6"/>
      <c r="D458" s="49"/>
      <c r="E458" s="51"/>
      <c r="F458" s="6"/>
      <c r="G458" s="6"/>
      <c r="H458" s="6"/>
      <c r="I458" s="6"/>
      <c r="J458" s="6"/>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6"/>
      <c r="D459" s="49"/>
      <c r="E459" s="51"/>
      <c r="F459" s="6"/>
      <c r="G459" s="6"/>
      <c r="H459" s="6"/>
      <c r="I459" s="6"/>
      <c r="J459" s="6"/>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6"/>
      <c r="D460" s="49"/>
      <c r="E460" s="51"/>
      <c r="F460" s="6"/>
      <c r="G460" s="6"/>
      <c r="H460" s="6"/>
      <c r="I460" s="6"/>
      <c r="J460" s="6"/>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6"/>
      <c r="D461" s="49"/>
      <c r="E461" s="51"/>
      <c r="F461" s="6"/>
      <c r="G461" s="6"/>
      <c r="H461" s="6"/>
      <c r="I461" s="6"/>
      <c r="J461" s="6"/>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6"/>
      <c r="D462" s="49"/>
      <c r="E462" s="51"/>
      <c r="F462" s="6"/>
      <c r="G462" s="6"/>
      <c r="H462" s="6"/>
      <c r="I462" s="6"/>
      <c r="J462" s="6"/>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6"/>
      <c r="D463" s="49"/>
      <c r="E463" s="51"/>
      <c r="F463" s="6"/>
      <c r="G463" s="6"/>
      <c r="H463" s="6"/>
      <c r="I463" s="6"/>
      <c r="J463" s="6"/>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6"/>
      <c r="D464" s="49"/>
      <c r="E464" s="51"/>
      <c r="F464" s="6"/>
      <c r="G464" s="6"/>
      <c r="H464" s="6"/>
      <c r="I464" s="6"/>
      <c r="J464" s="6"/>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6"/>
      <c r="D465" s="49"/>
      <c r="E465" s="51"/>
      <c r="F465" s="6"/>
      <c r="G465" s="6"/>
      <c r="H465" s="6"/>
      <c r="I465" s="6"/>
      <c r="J465" s="6"/>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6"/>
      <c r="D466" s="49"/>
      <c r="E466" s="51"/>
      <c r="F466" s="6"/>
      <c r="G466" s="6"/>
      <c r="H466" s="6"/>
      <c r="I466" s="6"/>
      <c r="J466" s="6"/>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6"/>
      <c r="D467" s="49"/>
      <c r="E467" s="51"/>
      <c r="F467" s="6"/>
      <c r="G467" s="6"/>
      <c r="H467" s="6"/>
      <c r="I467" s="6"/>
      <c r="J467" s="6"/>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6"/>
      <c r="D468" s="49"/>
      <c r="E468" s="51"/>
      <c r="F468" s="6"/>
      <c r="G468" s="6"/>
      <c r="H468" s="6"/>
      <c r="I468" s="6"/>
      <c r="J468" s="6"/>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6"/>
      <c r="D469" s="49"/>
      <c r="E469" s="51"/>
      <c r="F469" s="6"/>
      <c r="G469" s="6"/>
      <c r="H469" s="6"/>
      <c r="I469" s="6"/>
      <c r="J469" s="6"/>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6"/>
      <c r="D470" s="49"/>
      <c r="E470" s="51"/>
      <c r="F470" s="6"/>
      <c r="G470" s="6"/>
      <c r="H470" s="6"/>
      <c r="I470" s="6"/>
      <c r="J470" s="6"/>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6"/>
      <c r="D471" s="49"/>
      <c r="E471" s="51"/>
      <c r="F471" s="6"/>
      <c r="G471" s="6"/>
      <c r="H471" s="6"/>
      <c r="I471" s="6"/>
      <c r="J471" s="6"/>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6"/>
      <c r="D472" s="49"/>
      <c r="E472" s="51"/>
      <c r="F472" s="6"/>
      <c r="G472" s="6"/>
      <c r="H472" s="6"/>
      <c r="I472" s="6"/>
      <c r="J472" s="6"/>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6"/>
      <c r="D473" s="49"/>
      <c r="E473" s="51"/>
      <c r="F473" s="6"/>
      <c r="G473" s="6"/>
      <c r="H473" s="6"/>
      <c r="I473" s="6"/>
      <c r="J473" s="6"/>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6"/>
      <c r="D474" s="49"/>
      <c r="E474" s="51"/>
      <c r="F474" s="6"/>
      <c r="G474" s="6"/>
      <c r="H474" s="6"/>
      <c r="I474" s="6"/>
      <c r="J474" s="6"/>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6"/>
      <c r="D475" s="49"/>
      <c r="E475" s="51"/>
      <c r="F475" s="6"/>
      <c r="G475" s="6"/>
      <c r="H475" s="6"/>
      <c r="I475" s="6"/>
      <c r="J475" s="6"/>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6"/>
      <c r="D476" s="49"/>
      <c r="E476" s="51"/>
      <c r="F476" s="6"/>
      <c r="G476" s="6"/>
      <c r="H476" s="6"/>
      <c r="I476" s="6"/>
      <c r="J476" s="6"/>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6"/>
      <c r="D477" s="49"/>
      <c r="E477" s="51"/>
      <c r="F477" s="6"/>
      <c r="G477" s="6"/>
      <c r="H477" s="6"/>
      <c r="I477" s="6"/>
      <c r="J477" s="6"/>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6"/>
      <c r="D478" s="49"/>
      <c r="E478" s="51"/>
      <c r="F478" s="6"/>
      <c r="G478" s="6"/>
      <c r="H478" s="6"/>
      <c r="I478" s="6"/>
      <c r="J478" s="6"/>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6"/>
      <c r="D479" s="49"/>
      <c r="E479" s="51"/>
      <c r="F479" s="6"/>
      <c r="G479" s="6"/>
      <c r="H479" s="6"/>
      <c r="I479" s="6"/>
      <c r="J479" s="6"/>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6"/>
      <c r="D480" s="49"/>
      <c r="E480" s="51"/>
      <c r="F480" s="6"/>
      <c r="G480" s="6"/>
      <c r="H480" s="6"/>
      <c r="I480" s="6"/>
      <c r="J480" s="6"/>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6"/>
      <c r="D481" s="49"/>
      <c r="E481" s="51"/>
      <c r="F481" s="6"/>
      <c r="G481" s="6"/>
      <c r="H481" s="6"/>
      <c r="I481" s="6"/>
      <c r="J481" s="6"/>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6"/>
      <c r="D482" s="49"/>
      <c r="E482" s="51"/>
      <c r="F482" s="6"/>
      <c r="G482" s="6"/>
      <c r="H482" s="6"/>
      <c r="I482" s="6"/>
      <c r="J482" s="6"/>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6"/>
      <c r="D483" s="49"/>
      <c r="E483" s="51"/>
      <c r="F483" s="6"/>
      <c r="G483" s="6"/>
      <c r="H483" s="6"/>
      <c r="I483" s="6"/>
      <c r="J483" s="6"/>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6"/>
      <c r="D484" s="49"/>
      <c r="E484" s="51"/>
      <c r="F484" s="6"/>
      <c r="G484" s="6"/>
      <c r="H484" s="6"/>
      <c r="I484" s="6"/>
      <c r="J484" s="6"/>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6"/>
      <c r="D485" s="49"/>
      <c r="E485" s="51"/>
      <c r="F485" s="6"/>
      <c r="G485" s="6"/>
      <c r="H485" s="6"/>
      <c r="I485" s="6"/>
      <c r="J485" s="6"/>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6"/>
      <c r="D486" s="49"/>
      <c r="E486" s="51"/>
      <c r="F486" s="6"/>
      <c r="G486" s="6"/>
      <c r="H486" s="6"/>
      <c r="I486" s="6"/>
      <c r="J486" s="6"/>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6"/>
      <c r="D487" s="49"/>
      <c r="E487" s="51"/>
      <c r="F487" s="6"/>
      <c r="G487" s="6"/>
      <c r="H487" s="6"/>
      <c r="I487" s="6"/>
      <c r="J487" s="6"/>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6"/>
      <c r="D488" s="49"/>
      <c r="E488" s="51"/>
      <c r="F488" s="6"/>
      <c r="G488" s="6"/>
      <c r="H488" s="6"/>
      <c r="I488" s="6"/>
      <c r="J488" s="6"/>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6"/>
      <c r="D489" s="49"/>
      <c r="E489" s="51"/>
      <c r="F489" s="6"/>
      <c r="G489" s="6"/>
      <c r="H489" s="6"/>
      <c r="I489" s="6"/>
      <c r="J489" s="6"/>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6"/>
      <c r="D490" s="49"/>
      <c r="E490" s="51"/>
      <c r="F490" s="6"/>
      <c r="G490" s="6"/>
      <c r="H490" s="6"/>
      <c r="I490" s="6"/>
      <c r="J490" s="6"/>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6"/>
      <c r="D491" s="49"/>
      <c r="E491" s="51"/>
      <c r="F491" s="6"/>
      <c r="G491" s="6"/>
      <c r="H491" s="6"/>
      <c r="I491" s="6"/>
      <c r="J491" s="6"/>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6"/>
      <c r="D492" s="49"/>
      <c r="E492" s="51"/>
      <c r="F492" s="6"/>
      <c r="G492" s="6"/>
      <c r="H492" s="6"/>
      <c r="I492" s="6"/>
      <c r="J492" s="6"/>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6"/>
      <c r="D493" s="49"/>
      <c r="E493" s="51"/>
      <c r="F493" s="6"/>
      <c r="G493" s="6"/>
      <c r="H493" s="6"/>
      <c r="I493" s="6"/>
      <c r="J493" s="6"/>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6"/>
      <c r="D494" s="49"/>
      <c r="E494" s="51"/>
      <c r="F494" s="6"/>
      <c r="G494" s="6"/>
      <c r="H494" s="6"/>
      <c r="I494" s="6"/>
      <c r="J494" s="6"/>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6"/>
      <c r="D495" s="49"/>
      <c r="E495" s="51"/>
      <c r="F495" s="6"/>
      <c r="G495" s="6"/>
      <c r="H495" s="6"/>
      <c r="I495" s="6"/>
      <c r="J495" s="6"/>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6"/>
      <c r="D496" s="49"/>
      <c r="E496" s="51"/>
      <c r="F496" s="6"/>
      <c r="G496" s="6"/>
      <c r="H496" s="6"/>
      <c r="I496" s="6"/>
      <c r="J496" s="6"/>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6"/>
      <c r="D497" s="49"/>
      <c r="E497" s="51"/>
      <c r="F497" s="6"/>
      <c r="G497" s="6"/>
      <c r="H497" s="6"/>
      <c r="I497" s="6"/>
      <c r="J497" s="6"/>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6"/>
      <c r="D498" s="49"/>
      <c r="E498" s="51"/>
      <c r="F498" s="6"/>
      <c r="G498" s="6"/>
      <c r="H498" s="6"/>
      <c r="I498" s="6"/>
      <c r="J498" s="6"/>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6"/>
      <c r="D499" s="49"/>
      <c r="E499" s="51"/>
      <c r="F499" s="6"/>
      <c r="G499" s="6"/>
      <c r="H499" s="6"/>
      <c r="I499" s="6"/>
      <c r="J499" s="6"/>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6"/>
      <c r="D500" s="49"/>
      <c r="E500" s="51"/>
      <c r="F500" s="6"/>
      <c r="G500" s="6"/>
      <c r="H500" s="6"/>
      <c r="I500" s="6"/>
      <c r="J500" s="6"/>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6"/>
      <c r="D501" s="49"/>
      <c r="E501" s="51"/>
      <c r="F501" s="6"/>
      <c r="G501" s="6"/>
      <c r="H501" s="6"/>
      <c r="I501" s="6"/>
      <c r="J501" s="6"/>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6"/>
      <c r="D502" s="49"/>
      <c r="E502" s="51"/>
      <c r="F502" s="6"/>
      <c r="G502" s="6"/>
      <c r="H502" s="6"/>
      <c r="I502" s="6"/>
      <c r="J502" s="6"/>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6"/>
      <c r="D503" s="49"/>
      <c r="E503" s="51"/>
      <c r="F503" s="6"/>
      <c r="G503" s="6"/>
      <c r="H503" s="6"/>
      <c r="I503" s="6"/>
      <c r="J503" s="6"/>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6"/>
      <c r="D504" s="49"/>
      <c r="E504" s="51"/>
      <c r="F504" s="6"/>
      <c r="G504" s="6"/>
      <c r="H504" s="6"/>
      <c r="I504" s="6"/>
      <c r="J504" s="6"/>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6"/>
      <c r="D505" s="49"/>
      <c r="E505" s="51"/>
      <c r="F505" s="6"/>
      <c r="G505" s="6"/>
      <c r="H505" s="6"/>
      <c r="I505" s="6"/>
      <c r="J505" s="6"/>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6"/>
      <c r="D506" s="49"/>
      <c r="E506" s="51"/>
      <c r="F506" s="6"/>
      <c r="G506" s="6"/>
      <c r="H506" s="6"/>
      <c r="I506" s="6"/>
      <c r="J506" s="6"/>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6"/>
      <c r="D507" s="49"/>
      <c r="E507" s="51"/>
      <c r="F507" s="6"/>
      <c r="G507" s="6"/>
      <c r="H507" s="6"/>
      <c r="I507" s="6"/>
      <c r="J507" s="6"/>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6"/>
      <c r="D508" s="49"/>
      <c r="E508" s="51"/>
      <c r="F508" s="6"/>
      <c r="G508" s="6"/>
      <c r="H508" s="6"/>
      <c r="I508" s="6"/>
      <c r="J508" s="6"/>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6"/>
      <c r="D509" s="49"/>
      <c r="E509" s="51"/>
      <c r="F509" s="6"/>
      <c r="G509" s="6"/>
      <c r="H509" s="6"/>
      <c r="I509" s="6"/>
      <c r="J509" s="6"/>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6"/>
      <c r="D510" s="49"/>
      <c r="E510" s="51"/>
      <c r="F510" s="6"/>
      <c r="G510" s="6"/>
      <c r="H510" s="6"/>
      <c r="I510" s="6"/>
      <c r="J510" s="6"/>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6"/>
      <c r="D511" s="49"/>
      <c r="E511" s="51"/>
      <c r="F511" s="6"/>
      <c r="G511" s="6"/>
      <c r="H511" s="6"/>
      <c r="I511" s="6"/>
      <c r="J511" s="6"/>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6"/>
      <c r="D512" s="49"/>
      <c r="E512" s="51"/>
      <c r="F512" s="6"/>
      <c r="G512" s="6"/>
      <c r="H512" s="6"/>
      <c r="I512" s="6"/>
      <c r="J512" s="6"/>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6"/>
      <c r="D513" s="49"/>
      <c r="E513" s="51"/>
      <c r="F513" s="6"/>
      <c r="G513" s="6"/>
      <c r="H513" s="6"/>
      <c r="I513" s="6"/>
      <c r="J513" s="6"/>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6"/>
      <c r="D514" s="49"/>
      <c r="E514" s="51"/>
      <c r="F514" s="6"/>
      <c r="G514" s="6"/>
      <c r="H514" s="6"/>
      <c r="I514" s="6"/>
      <c r="J514" s="6"/>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6"/>
      <c r="D515" s="49"/>
      <c r="E515" s="51"/>
      <c r="F515" s="6"/>
      <c r="G515" s="6"/>
      <c r="H515" s="6"/>
      <c r="I515" s="6"/>
      <c r="J515" s="6"/>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6"/>
      <c r="D516" s="49"/>
      <c r="E516" s="51"/>
      <c r="F516" s="6"/>
      <c r="G516" s="6"/>
      <c r="H516" s="6"/>
      <c r="I516" s="6"/>
      <c r="J516" s="6"/>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6"/>
      <c r="D517" s="49"/>
      <c r="E517" s="51"/>
      <c r="F517" s="6"/>
      <c r="G517" s="6"/>
      <c r="H517" s="6"/>
      <c r="I517" s="6"/>
      <c r="J517" s="6"/>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6"/>
      <c r="D518" s="49"/>
      <c r="E518" s="51"/>
      <c r="F518" s="6"/>
      <c r="G518" s="6"/>
      <c r="H518" s="6"/>
      <c r="I518" s="6"/>
      <c r="J518" s="6"/>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6"/>
      <c r="D519" s="49"/>
      <c r="E519" s="51"/>
      <c r="F519" s="6"/>
      <c r="G519" s="6"/>
      <c r="H519" s="6"/>
      <c r="I519" s="6"/>
      <c r="J519" s="6"/>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6"/>
      <c r="D520" s="49"/>
      <c r="E520" s="51"/>
      <c r="F520" s="6"/>
      <c r="G520" s="6"/>
      <c r="H520" s="6"/>
      <c r="I520" s="6"/>
      <c r="J520" s="6"/>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6"/>
      <c r="D521" s="49"/>
      <c r="E521" s="51"/>
      <c r="F521" s="6"/>
      <c r="G521" s="6"/>
      <c r="H521" s="6"/>
      <c r="I521" s="6"/>
      <c r="J521" s="6"/>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6"/>
      <c r="D522" s="49"/>
      <c r="E522" s="51"/>
      <c r="F522" s="6"/>
      <c r="G522" s="6"/>
      <c r="H522" s="6"/>
      <c r="I522" s="6"/>
      <c r="J522" s="6"/>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6"/>
      <c r="D523" s="49"/>
      <c r="E523" s="51"/>
      <c r="F523" s="6"/>
      <c r="G523" s="6"/>
      <c r="H523" s="6"/>
      <c r="I523" s="6"/>
      <c r="J523" s="6"/>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6"/>
      <c r="D524" s="49"/>
      <c r="E524" s="51"/>
      <c r="F524" s="6"/>
      <c r="G524" s="6"/>
      <c r="H524" s="6"/>
      <c r="I524" s="6"/>
      <c r="J524" s="6"/>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6"/>
      <c r="D525" s="49"/>
      <c r="E525" s="51"/>
      <c r="F525" s="6"/>
      <c r="G525" s="6"/>
      <c r="H525" s="6"/>
      <c r="I525" s="6"/>
      <c r="J525" s="6"/>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6"/>
      <c r="D526" s="49"/>
      <c r="E526" s="51"/>
      <c r="F526" s="6"/>
      <c r="G526" s="6"/>
      <c r="H526" s="6"/>
      <c r="I526" s="6"/>
      <c r="J526" s="6"/>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6"/>
      <c r="D527" s="49"/>
      <c r="E527" s="51"/>
      <c r="F527" s="6"/>
      <c r="G527" s="6"/>
      <c r="H527" s="6"/>
      <c r="I527" s="6"/>
      <c r="J527" s="6"/>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6"/>
      <c r="D528" s="49"/>
      <c r="E528" s="51"/>
      <c r="F528" s="6"/>
      <c r="G528" s="6"/>
      <c r="H528" s="6"/>
      <c r="I528" s="6"/>
      <c r="J528" s="6"/>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6"/>
      <c r="D529" s="49"/>
      <c r="E529" s="51"/>
      <c r="F529" s="6"/>
      <c r="G529" s="6"/>
      <c r="H529" s="6"/>
      <c r="I529" s="6"/>
      <c r="J529" s="6"/>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6"/>
      <c r="D530" s="49"/>
      <c r="E530" s="51"/>
      <c r="F530" s="6"/>
      <c r="G530" s="6"/>
      <c r="H530" s="6"/>
      <c r="I530" s="6"/>
      <c r="J530" s="6"/>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6"/>
      <c r="D531" s="49"/>
      <c r="E531" s="51"/>
      <c r="F531" s="6"/>
      <c r="G531" s="6"/>
      <c r="H531" s="6"/>
      <c r="I531" s="6"/>
      <c r="J531" s="6"/>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6"/>
      <c r="D532" s="49"/>
      <c r="E532" s="51"/>
      <c r="F532" s="6"/>
      <c r="G532" s="6"/>
      <c r="H532" s="6"/>
      <c r="I532" s="6"/>
      <c r="J532" s="6"/>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6"/>
      <c r="D533" s="49"/>
      <c r="E533" s="51"/>
      <c r="F533" s="6"/>
      <c r="G533" s="6"/>
      <c r="H533" s="6"/>
      <c r="I533" s="6"/>
      <c r="J533" s="6"/>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6"/>
      <c r="D534" s="49"/>
      <c r="E534" s="51"/>
      <c r="F534" s="6"/>
      <c r="G534" s="6"/>
      <c r="H534" s="6"/>
      <c r="I534" s="6"/>
      <c r="J534" s="6"/>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6"/>
      <c r="D535" s="49"/>
      <c r="E535" s="51"/>
      <c r="F535" s="6"/>
      <c r="G535" s="6"/>
      <c r="H535" s="6"/>
      <c r="I535" s="6"/>
      <c r="J535" s="6"/>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6"/>
      <c r="D536" s="49"/>
      <c r="E536" s="51"/>
      <c r="F536" s="6"/>
      <c r="G536" s="6"/>
      <c r="H536" s="6"/>
      <c r="I536" s="6"/>
      <c r="J536" s="6"/>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6"/>
      <c r="D537" s="49"/>
      <c r="E537" s="51"/>
      <c r="F537" s="6"/>
      <c r="G537" s="6"/>
      <c r="H537" s="6"/>
      <c r="I537" s="6"/>
      <c r="J537" s="6"/>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6"/>
      <c r="D538" s="49"/>
      <c r="E538" s="51"/>
      <c r="F538" s="6"/>
      <c r="G538" s="6"/>
      <c r="H538" s="6"/>
      <c r="I538" s="6"/>
      <c r="J538" s="6"/>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6"/>
      <c r="D539" s="49"/>
      <c r="E539" s="51"/>
      <c r="F539" s="6"/>
      <c r="G539" s="6"/>
      <c r="H539" s="6"/>
      <c r="I539" s="6"/>
      <c r="J539" s="6"/>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6"/>
      <c r="D540" s="49"/>
      <c r="E540" s="51"/>
      <c r="F540" s="6"/>
      <c r="G540" s="6"/>
      <c r="H540" s="6"/>
      <c r="I540" s="6"/>
      <c r="J540" s="6"/>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6"/>
      <c r="D541" s="49"/>
      <c r="E541" s="51"/>
      <c r="F541" s="6"/>
      <c r="G541" s="6"/>
      <c r="H541" s="6"/>
      <c r="I541" s="6"/>
      <c r="J541" s="6"/>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6"/>
      <c r="D542" s="49"/>
      <c r="E542" s="51"/>
      <c r="F542" s="6"/>
      <c r="G542" s="6"/>
      <c r="H542" s="6"/>
      <c r="I542" s="6"/>
      <c r="J542" s="6"/>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6"/>
      <c r="D543" s="49"/>
      <c r="E543" s="51"/>
      <c r="F543" s="6"/>
      <c r="G543" s="6"/>
      <c r="H543" s="6"/>
      <c r="I543" s="6"/>
      <c r="J543" s="6"/>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6"/>
      <c r="D544" s="49"/>
      <c r="E544" s="51"/>
      <c r="F544" s="6"/>
      <c r="G544" s="6"/>
      <c r="H544" s="6"/>
      <c r="I544" s="6"/>
      <c r="J544" s="6"/>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6"/>
      <c r="D545" s="49"/>
      <c r="E545" s="51"/>
      <c r="F545" s="6"/>
      <c r="G545" s="6"/>
      <c r="H545" s="6"/>
      <c r="I545" s="6"/>
      <c r="J545" s="6"/>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6"/>
      <c r="D546" s="49"/>
      <c r="E546" s="51"/>
      <c r="F546" s="6"/>
      <c r="G546" s="6"/>
      <c r="H546" s="6"/>
      <c r="I546" s="6"/>
      <c r="J546" s="6"/>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6"/>
      <c r="D547" s="49"/>
      <c r="E547" s="51"/>
      <c r="F547" s="6"/>
      <c r="G547" s="6"/>
      <c r="H547" s="6"/>
      <c r="I547" s="6"/>
      <c r="J547" s="6"/>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6"/>
      <c r="D548" s="49"/>
      <c r="E548" s="51"/>
      <c r="F548" s="6"/>
      <c r="G548" s="6"/>
      <c r="H548" s="6"/>
      <c r="I548" s="6"/>
      <c r="J548" s="6"/>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6"/>
      <c r="D549" s="49"/>
      <c r="E549" s="51"/>
      <c r="F549" s="6"/>
      <c r="G549" s="6"/>
      <c r="H549" s="6"/>
      <c r="I549" s="6"/>
      <c r="J549" s="6"/>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6"/>
      <c r="D550" s="49"/>
      <c r="E550" s="51"/>
      <c r="F550" s="6"/>
      <c r="G550" s="6"/>
      <c r="H550" s="6"/>
      <c r="I550" s="6"/>
      <c r="J550" s="6"/>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6"/>
      <c r="D551" s="49"/>
      <c r="E551" s="51"/>
      <c r="F551" s="6"/>
      <c r="G551" s="6"/>
      <c r="H551" s="6"/>
      <c r="I551" s="6"/>
      <c r="J551" s="6"/>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6"/>
      <c r="D552" s="49"/>
      <c r="E552" s="51"/>
      <c r="F552" s="6"/>
      <c r="G552" s="6"/>
      <c r="H552" s="6"/>
      <c r="I552" s="6"/>
      <c r="J552" s="6"/>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6"/>
      <c r="D553" s="49"/>
      <c r="E553" s="51"/>
      <c r="F553" s="6"/>
      <c r="G553" s="6"/>
      <c r="H553" s="6"/>
      <c r="I553" s="6"/>
      <c r="J553" s="6"/>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6"/>
      <c r="D554" s="49"/>
      <c r="E554" s="51"/>
      <c r="F554" s="6"/>
      <c r="G554" s="6"/>
      <c r="H554" s="6"/>
      <c r="I554" s="6"/>
      <c r="J554" s="6"/>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6"/>
      <c r="D555" s="49"/>
      <c r="E555" s="51"/>
      <c r="F555" s="6"/>
      <c r="G555" s="6"/>
      <c r="H555" s="6"/>
      <c r="I555" s="6"/>
      <c r="J555" s="6"/>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6"/>
      <c r="D556" s="49"/>
      <c r="E556" s="51"/>
      <c r="F556" s="6"/>
      <c r="G556" s="6"/>
      <c r="H556" s="6"/>
      <c r="I556" s="6"/>
      <c r="J556" s="6"/>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6"/>
      <c r="D557" s="49"/>
      <c r="E557" s="51"/>
      <c r="F557" s="6"/>
      <c r="G557" s="6"/>
      <c r="H557" s="6"/>
      <c r="I557" s="6"/>
      <c r="J557" s="6"/>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6"/>
      <c r="D558" s="49"/>
      <c r="E558" s="51"/>
      <c r="F558" s="6"/>
      <c r="G558" s="6"/>
      <c r="H558" s="6"/>
      <c r="I558" s="6"/>
      <c r="J558" s="6"/>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6"/>
      <c r="D559" s="49"/>
      <c r="E559" s="51"/>
      <c r="F559" s="6"/>
      <c r="G559" s="6"/>
      <c r="H559" s="6"/>
      <c r="I559" s="6"/>
      <c r="J559" s="6"/>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6"/>
      <c r="D560" s="49"/>
      <c r="E560" s="51"/>
      <c r="F560" s="6"/>
      <c r="G560" s="6"/>
      <c r="H560" s="6"/>
      <c r="I560" s="6"/>
      <c r="J560" s="6"/>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6"/>
      <c r="D561" s="49"/>
      <c r="E561" s="51"/>
      <c r="F561" s="6"/>
      <c r="G561" s="6"/>
      <c r="H561" s="6"/>
      <c r="I561" s="6"/>
      <c r="J561" s="6"/>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6"/>
      <c r="D562" s="49"/>
      <c r="E562" s="51"/>
      <c r="F562" s="6"/>
      <c r="G562" s="6"/>
      <c r="H562" s="6"/>
      <c r="I562" s="6"/>
      <c r="J562" s="6"/>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6"/>
      <c r="D563" s="49"/>
      <c r="E563" s="51"/>
      <c r="F563" s="6"/>
      <c r="G563" s="6"/>
      <c r="H563" s="6"/>
      <c r="I563" s="6"/>
      <c r="J563" s="6"/>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6"/>
      <c r="D564" s="49"/>
      <c r="E564" s="51"/>
      <c r="F564" s="6"/>
      <c r="G564" s="6"/>
      <c r="H564" s="6"/>
      <c r="I564" s="6"/>
      <c r="J564" s="6"/>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6"/>
      <c r="D565" s="49"/>
      <c r="E565" s="51"/>
      <c r="F565" s="6"/>
      <c r="G565" s="6"/>
      <c r="H565" s="6"/>
      <c r="I565" s="6"/>
      <c r="J565" s="6"/>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6"/>
      <c r="D566" s="49"/>
      <c r="E566" s="51"/>
      <c r="F566" s="6"/>
      <c r="G566" s="6"/>
      <c r="H566" s="6"/>
      <c r="I566" s="6"/>
      <c r="J566" s="6"/>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6"/>
      <c r="D567" s="49"/>
      <c r="E567" s="51"/>
      <c r="F567" s="6"/>
      <c r="G567" s="6"/>
      <c r="H567" s="6"/>
      <c r="I567" s="6"/>
      <c r="J567" s="6"/>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6"/>
      <c r="D568" s="49"/>
      <c r="E568" s="51"/>
      <c r="F568" s="6"/>
      <c r="G568" s="6"/>
      <c r="H568" s="6"/>
      <c r="I568" s="6"/>
      <c r="J568" s="6"/>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6"/>
      <c r="D569" s="49"/>
      <c r="E569" s="51"/>
      <c r="F569" s="6"/>
      <c r="G569" s="6"/>
      <c r="H569" s="6"/>
      <c r="I569" s="6"/>
      <c r="J569" s="6"/>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6"/>
      <c r="D570" s="49"/>
      <c r="E570" s="51"/>
      <c r="F570" s="6"/>
      <c r="G570" s="6"/>
      <c r="H570" s="6"/>
      <c r="I570" s="6"/>
      <c r="J570" s="6"/>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6"/>
      <c r="D571" s="49"/>
      <c r="E571" s="51"/>
      <c r="F571" s="6"/>
      <c r="G571" s="6"/>
      <c r="H571" s="6"/>
      <c r="I571" s="6"/>
      <c r="J571" s="6"/>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6"/>
      <c r="D572" s="49"/>
      <c r="E572" s="51"/>
      <c r="F572" s="6"/>
      <c r="G572" s="6"/>
      <c r="H572" s="6"/>
      <c r="I572" s="6"/>
      <c r="J572" s="6"/>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6"/>
      <c r="D573" s="49"/>
      <c r="E573" s="51"/>
      <c r="F573" s="6"/>
      <c r="G573" s="6"/>
      <c r="H573" s="6"/>
      <c r="I573" s="6"/>
      <c r="J573" s="6"/>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6"/>
      <c r="D574" s="49"/>
      <c r="E574" s="51"/>
      <c r="F574" s="6"/>
      <c r="G574" s="6"/>
      <c r="H574" s="6"/>
      <c r="I574" s="6"/>
      <c r="J574" s="6"/>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6"/>
      <c r="D575" s="49"/>
      <c r="E575" s="51"/>
      <c r="F575" s="6"/>
      <c r="G575" s="6"/>
      <c r="H575" s="6"/>
      <c r="I575" s="6"/>
      <c r="J575" s="6"/>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6"/>
      <c r="D576" s="49"/>
      <c r="E576" s="51"/>
      <c r="F576" s="6"/>
      <c r="G576" s="6"/>
      <c r="H576" s="6"/>
      <c r="I576" s="6"/>
      <c r="J576" s="6"/>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6"/>
      <c r="D577" s="49"/>
      <c r="E577" s="51"/>
      <c r="F577" s="6"/>
      <c r="G577" s="6"/>
      <c r="H577" s="6"/>
      <c r="I577" s="6"/>
      <c r="J577" s="6"/>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6"/>
      <c r="D578" s="49"/>
      <c r="E578" s="51"/>
      <c r="F578" s="6"/>
      <c r="G578" s="6"/>
      <c r="H578" s="6"/>
      <c r="I578" s="6"/>
      <c r="J578" s="6"/>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6"/>
      <c r="D579" s="49"/>
      <c r="E579" s="51"/>
      <c r="F579" s="6"/>
      <c r="G579" s="6"/>
      <c r="H579" s="6"/>
      <c r="I579" s="6"/>
      <c r="J579" s="6"/>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6"/>
      <c r="D580" s="49"/>
      <c r="E580" s="51"/>
      <c r="F580" s="6"/>
      <c r="G580" s="6"/>
      <c r="H580" s="6"/>
      <c r="I580" s="6"/>
      <c r="J580" s="6"/>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6"/>
      <c r="D581" s="49"/>
      <c r="E581" s="51"/>
      <c r="F581" s="6"/>
      <c r="G581" s="6"/>
      <c r="H581" s="6"/>
      <c r="I581" s="6"/>
      <c r="J581" s="6"/>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6"/>
      <c r="D582" s="49"/>
      <c r="E582" s="51"/>
      <c r="F582" s="6"/>
      <c r="G582" s="6"/>
      <c r="H582" s="6"/>
      <c r="I582" s="6"/>
      <c r="J582" s="6"/>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6"/>
      <c r="D583" s="49"/>
      <c r="E583" s="51"/>
      <c r="F583" s="6"/>
      <c r="G583" s="6"/>
      <c r="H583" s="6"/>
      <c r="I583" s="6"/>
      <c r="J583" s="6"/>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6"/>
      <c r="D584" s="49"/>
      <c r="E584" s="51"/>
      <c r="F584" s="6"/>
      <c r="G584" s="6"/>
      <c r="H584" s="6"/>
      <c r="I584" s="6"/>
      <c r="J584" s="6"/>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6"/>
      <c r="D585" s="49"/>
      <c r="E585" s="51"/>
      <c r="F585" s="6"/>
      <c r="G585" s="6"/>
      <c r="H585" s="6"/>
      <c r="I585" s="6"/>
      <c r="J585" s="6"/>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6"/>
      <c r="D586" s="49"/>
      <c r="E586" s="51"/>
      <c r="F586" s="6"/>
      <c r="G586" s="6"/>
      <c r="H586" s="6"/>
      <c r="I586" s="6"/>
      <c r="J586" s="6"/>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6"/>
      <c r="D587" s="49"/>
      <c r="E587" s="51"/>
      <c r="F587" s="6"/>
      <c r="G587" s="6"/>
      <c r="H587" s="6"/>
      <c r="I587" s="6"/>
      <c r="J587" s="6"/>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6"/>
      <c r="D588" s="49"/>
      <c r="E588" s="51"/>
      <c r="F588" s="6"/>
      <c r="G588" s="6"/>
      <c r="H588" s="6"/>
      <c r="I588" s="6"/>
      <c r="J588" s="6"/>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6"/>
      <c r="D589" s="49"/>
      <c r="E589" s="51"/>
      <c r="F589" s="6"/>
      <c r="G589" s="6"/>
      <c r="H589" s="6"/>
      <c r="I589" s="6"/>
      <c r="J589" s="6"/>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6"/>
      <c r="D590" s="49"/>
      <c r="E590" s="51"/>
      <c r="F590" s="6"/>
      <c r="G590" s="6"/>
      <c r="H590" s="6"/>
      <c r="I590" s="6"/>
      <c r="J590" s="6"/>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6"/>
      <c r="D591" s="49"/>
      <c r="E591" s="51"/>
      <c r="F591" s="6"/>
      <c r="G591" s="6"/>
      <c r="H591" s="6"/>
      <c r="I591" s="6"/>
      <c r="J591" s="6"/>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6"/>
      <c r="D592" s="49"/>
      <c r="E592" s="51"/>
      <c r="F592" s="6"/>
      <c r="G592" s="6"/>
      <c r="H592" s="6"/>
      <c r="I592" s="6"/>
      <c r="J592" s="6"/>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6"/>
      <c r="D593" s="49"/>
      <c r="E593" s="51"/>
      <c r="F593" s="6"/>
      <c r="G593" s="6"/>
      <c r="H593" s="6"/>
      <c r="I593" s="6"/>
      <c r="J593" s="6"/>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6"/>
      <c r="D594" s="49"/>
      <c r="E594" s="51"/>
      <c r="F594" s="6"/>
      <c r="G594" s="6"/>
      <c r="H594" s="6"/>
      <c r="I594" s="6"/>
      <c r="J594" s="6"/>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6"/>
      <c r="D595" s="49"/>
      <c r="E595" s="51"/>
      <c r="F595" s="6"/>
      <c r="G595" s="6"/>
      <c r="H595" s="6"/>
      <c r="I595" s="6"/>
      <c r="J595" s="6"/>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6"/>
      <c r="D596" s="49"/>
      <c r="E596" s="51"/>
      <c r="F596" s="6"/>
      <c r="G596" s="6"/>
      <c r="H596" s="6"/>
      <c r="I596" s="6"/>
      <c r="J596" s="6"/>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6"/>
      <c r="D597" s="49"/>
      <c r="E597" s="51"/>
      <c r="F597" s="6"/>
      <c r="G597" s="6"/>
      <c r="H597" s="6"/>
      <c r="I597" s="6"/>
      <c r="J597" s="6"/>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6"/>
      <c r="D598" s="49"/>
      <c r="E598" s="51"/>
      <c r="F598" s="6"/>
      <c r="G598" s="6"/>
      <c r="H598" s="6"/>
      <c r="I598" s="6"/>
      <c r="J598" s="6"/>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6"/>
      <c r="D599" s="49"/>
      <c r="E599" s="51"/>
      <c r="F599" s="6"/>
      <c r="G599" s="6"/>
      <c r="H599" s="6"/>
      <c r="I599" s="6"/>
      <c r="J599" s="6"/>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6"/>
      <c r="D600" s="49"/>
      <c r="E600" s="51"/>
      <c r="F600" s="6"/>
      <c r="G600" s="6"/>
      <c r="H600" s="6"/>
      <c r="I600" s="6"/>
      <c r="J600" s="6"/>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6"/>
      <c r="D601" s="49"/>
      <c r="E601" s="51"/>
      <c r="F601" s="6"/>
      <c r="G601" s="6"/>
      <c r="H601" s="6"/>
      <c r="I601" s="6"/>
      <c r="J601" s="6"/>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6"/>
      <c r="D602" s="49"/>
      <c r="E602" s="51"/>
      <c r="F602" s="6"/>
      <c r="G602" s="6"/>
      <c r="H602" s="6"/>
      <c r="I602" s="6"/>
      <c r="J602" s="6"/>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6"/>
      <c r="D603" s="49"/>
      <c r="E603" s="51"/>
      <c r="F603" s="6"/>
      <c r="G603" s="6"/>
      <c r="H603" s="6"/>
      <c r="I603" s="6"/>
      <c r="J603" s="6"/>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6"/>
      <c r="D604" s="49"/>
      <c r="E604" s="51"/>
      <c r="F604" s="6"/>
      <c r="G604" s="6"/>
      <c r="H604" s="6"/>
      <c r="I604" s="6"/>
      <c r="J604" s="6"/>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6"/>
      <c r="D605" s="49"/>
      <c r="E605" s="51"/>
      <c r="F605" s="6"/>
      <c r="G605" s="6"/>
      <c r="H605" s="6"/>
      <c r="I605" s="6"/>
      <c r="J605" s="6"/>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6"/>
      <c r="D606" s="49"/>
      <c r="E606" s="51"/>
      <c r="F606" s="6"/>
      <c r="G606" s="6"/>
      <c r="H606" s="6"/>
      <c r="I606" s="6"/>
      <c r="J606" s="6"/>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6"/>
      <c r="D607" s="49"/>
      <c r="E607" s="51"/>
      <c r="F607" s="6"/>
      <c r="G607" s="6"/>
      <c r="H607" s="6"/>
      <c r="I607" s="6"/>
      <c r="J607" s="6"/>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6"/>
      <c r="D608" s="49"/>
      <c r="E608" s="51"/>
      <c r="F608" s="6"/>
      <c r="G608" s="6"/>
      <c r="H608" s="6"/>
      <c r="I608" s="6"/>
      <c r="J608" s="6"/>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6"/>
      <c r="D609" s="49"/>
      <c r="E609" s="51"/>
      <c r="F609" s="6"/>
      <c r="G609" s="6"/>
      <c r="H609" s="6"/>
      <c r="I609" s="6"/>
      <c r="J609" s="6"/>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6"/>
      <c r="D610" s="49"/>
      <c r="E610" s="51"/>
      <c r="F610" s="6"/>
      <c r="G610" s="6"/>
      <c r="H610" s="6"/>
      <c r="I610" s="6"/>
      <c r="J610" s="6"/>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6"/>
      <c r="D611" s="49"/>
      <c r="E611" s="51"/>
      <c r="F611" s="6"/>
      <c r="G611" s="6"/>
      <c r="H611" s="6"/>
      <c r="I611" s="6"/>
      <c r="J611" s="6"/>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6"/>
      <c r="D612" s="49"/>
      <c r="E612" s="51"/>
      <c r="F612" s="6"/>
      <c r="G612" s="6"/>
      <c r="H612" s="6"/>
      <c r="I612" s="6"/>
      <c r="J612" s="6"/>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6"/>
      <c r="D613" s="49"/>
      <c r="E613" s="51"/>
      <c r="F613" s="6"/>
      <c r="G613" s="6"/>
      <c r="H613" s="6"/>
      <c r="I613" s="6"/>
      <c r="J613" s="6"/>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6"/>
      <c r="D614" s="49"/>
      <c r="E614" s="51"/>
      <c r="F614" s="6"/>
      <c r="G614" s="6"/>
      <c r="H614" s="6"/>
      <c r="I614" s="6"/>
      <c r="J614" s="6"/>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6"/>
      <c r="D615" s="49"/>
      <c r="E615" s="51"/>
      <c r="F615" s="6"/>
      <c r="G615" s="6"/>
      <c r="H615" s="6"/>
      <c r="I615" s="6"/>
      <c r="J615" s="6"/>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6"/>
      <c r="D616" s="49"/>
      <c r="E616" s="51"/>
      <c r="F616" s="6"/>
      <c r="G616" s="6"/>
      <c r="H616" s="6"/>
      <c r="I616" s="6"/>
      <c r="J616" s="6"/>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6"/>
      <c r="D617" s="49"/>
      <c r="E617" s="51"/>
      <c r="F617" s="6"/>
      <c r="G617" s="6"/>
      <c r="H617" s="6"/>
      <c r="I617" s="6"/>
      <c r="J617" s="6"/>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6"/>
      <c r="D618" s="49"/>
      <c r="E618" s="51"/>
      <c r="F618" s="6"/>
      <c r="G618" s="6"/>
      <c r="H618" s="6"/>
      <c r="I618" s="6"/>
      <c r="J618" s="6"/>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6"/>
      <c r="D619" s="49"/>
      <c r="E619" s="51"/>
      <c r="F619" s="6"/>
      <c r="G619" s="6"/>
      <c r="H619" s="6"/>
      <c r="I619" s="6"/>
      <c r="J619" s="6"/>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6"/>
      <c r="D620" s="49"/>
      <c r="E620" s="51"/>
      <c r="F620" s="6"/>
      <c r="G620" s="6"/>
      <c r="H620" s="6"/>
      <c r="I620" s="6"/>
      <c r="J620" s="6"/>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6"/>
      <c r="D621" s="49"/>
      <c r="E621" s="51"/>
      <c r="F621" s="6"/>
      <c r="G621" s="6"/>
      <c r="H621" s="6"/>
      <c r="I621" s="6"/>
      <c r="J621" s="6"/>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6"/>
      <c r="D622" s="49"/>
      <c r="E622" s="51"/>
      <c r="F622" s="6"/>
      <c r="G622" s="6"/>
      <c r="H622" s="6"/>
      <c r="I622" s="6"/>
      <c r="J622" s="6"/>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6"/>
      <c r="D623" s="49"/>
      <c r="E623" s="51"/>
      <c r="F623" s="6"/>
      <c r="G623" s="6"/>
      <c r="H623" s="6"/>
      <c r="I623" s="6"/>
      <c r="J623" s="6"/>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6"/>
      <c r="D624" s="49"/>
      <c r="E624" s="51"/>
      <c r="F624" s="6"/>
      <c r="G624" s="6"/>
      <c r="H624" s="6"/>
      <c r="I624" s="6"/>
      <c r="J624" s="6"/>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6"/>
      <c r="D625" s="49"/>
      <c r="E625" s="51"/>
      <c r="F625" s="6"/>
      <c r="G625" s="6"/>
      <c r="H625" s="6"/>
      <c r="I625" s="6"/>
      <c r="J625" s="6"/>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6"/>
      <c r="D626" s="49"/>
      <c r="E626" s="51"/>
      <c r="F626" s="6"/>
      <c r="G626" s="6"/>
      <c r="H626" s="6"/>
      <c r="I626" s="6"/>
      <c r="J626" s="6"/>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6"/>
      <c r="D627" s="49"/>
      <c r="E627" s="51"/>
      <c r="F627" s="6"/>
      <c r="G627" s="6"/>
      <c r="H627" s="6"/>
      <c r="I627" s="6"/>
      <c r="J627" s="6"/>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6"/>
      <c r="D628" s="49"/>
      <c r="E628" s="51"/>
      <c r="F628" s="6"/>
      <c r="G628" s="6"/>
      <c r="H628" s="6"/>
      <c r="I628" s="6"/>
      <c r="J628" s="6"/>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6"/>
      <c r="D629" s="49"/>
      <c r="E629" s="51"/>
      <c r="F629" s="6"/>
      <c r="G629" s="6"/>
      <c r="H629" s="6"/>
      <c r="I629" s="6"/>
      <c r="J629" s="6"/>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6"/>
      <c r="D630" s="49"/>
      <c r="E630" s="51"/>
      <c r="F630" s="6"/>
      <c r="G630" s="6"/>
      <c r="H630" s="6"/>
      <c r="I630" s="6"/>
      <c r="J630" s="6"/>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6"/>
      <c r="D631" s="49"/>
      <c r="E631" s="51"/>
      <c r="F631" s="6"/>
      <c r="G631" s="6"/>
      <c r="H631" s="6"/>
      <c r="I631" s="6"/>
      <c r="J631" s="6"/>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6"/>
      <c r="D632" s="49"/>
      <c r="E632" s="51"/>
      <c r="F632" s="6"/>
      <c r="G632" s="6"/>
      <c r="H632" s="6"/>
      <c r="I632" s="6"/>
      <c r="J632" s="6"/>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6"/>
      <c r="D633" s="49"/>
      <c r="E633" s="51"/>
      <c r="F633" s="6"/>
      <c r="G633" s="6"/>
      <c r="H633" s="6"/>
      <c r="I633" s="6"/>
      <c r="J633" s="6"/>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6"/>
      <c r="D634" s="49"/>
      <c r="E634" s="51"/>
      <c r="F634" s="6"/>
      <c r="G634" s="6"/>
      <c r="H634" s="6"/>
      <c r="I634" s="6"/>
      <c r="J634" s="6"/>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6"/>
      <c r="D635" s="49"/>
      <c r="E635" s="51"/>
      <c r="F635" s="6"/>
      <c r="G635" s="6"/>
      <c r="H635" s="6"/>
      <c r="I635" s="6"/>
      <c r="J635" s="6"/>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6"/>
      <c r="D636" s="49"/>
      <c r="E636" s="51"/>
      <c r="F636" s="6"/>
      <c r="G636" s="6"/>
      <c r="H636" s="6"/>
      <c r="I636" s="6"/>
      <c r="J636" s="6"/>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6"/>
      <c r="D637" s="49"/>
      <c r="E637" s="51"/>
      <c r="F637" s="6"/>
      <c r="G637" s="6"/>
      <c r="H637" s="6"/>
      <c r="I637" s="6"/>
      <c r="J637" s="6"/>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6"/>
      <c r="D638" s="49"/>
      <c r="E638" s="51"/>
      <c r="F638" s="6"/>
      <c r="G638" s="6"/>
      <c r="H638" s="6"/>
      <c r="I638" s="6"/>
      <c r="J638" s="6"/>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6"/>
      <c r="D639" s="49"/>
      <c r="E639" s="51"/>
      <c r="F639" s="6"/>
      <c r="G639" s="6"/>
      <c r="H639" s="6"/>
      <c r="I639" s="6"/>
      <c r="J639" s="6"/>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6"/>
      <c r="D640" s="49"/>
      <c r="E640" s="51"/>
      <c r="F640" s="6"/>
      <c r="G640" s="6"/>
      <c r="H640" s="6"/>
      <c r="I640" s="6"/>
      <c r="J640" s="6"/>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6"/>
      <c r="D641" s="49"/>
      <c r="E641" s="51"/>
      <c r="F641" s="6"/>
      <c r="G641" s="6"/>
      <c r="H641" s="6"/>
      <c r="I641" s="6"/>
      <c r="J641" s="6"/>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6"/>
      <c r="D642" s="49"/>
      <c r="E642" s="51"/>
      <c r="F642" s="6"/>
      <c r="G642" s="6"/>
      <c r="H642" s="6"/>
      <c r="I642" s="6"/>
      <c r="J642" s="6"/>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6"/>
      <c r="D643" s="49"/>
      <c r="E643" s="51"/>
      <c r="F643" s="6"/>
      <c r="G643" s="6"/>
      <c r="H643" s="6"/>
      <c r="I643" s="6"/>
      <c r="J643" s="6"/>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6"/>
      <c r="D644" s="49"/>
      <c r="E644" s="51"/>
      <c r="F644" s="6"/>
      <c r="G644" s="6"/>
      <c r="H644" s="6"/>
      <c r="I644" s="6"/>
      <c r="J644" s="6"/>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6"/>
      <c r="D645" s="49"/>
      <c r="E645" s="51"/>
      <c r="F645" s="6"/>
      <c r="G645" s="6"/>
      <c r="H645" s="6"/>
      <c r="I645" s="6"/>
      <c r="J645" s="6"/>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6"/>
      <c r="D646" s="49"/>
      <c r="E646" s="51"/>
      <c r="F646" s="6"/>
      <c r="G646" s="6"/>
      <c r="H646" s="6"/>
      <c r="I646" s="6"/>
      <c r="J646" s="6"/>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6"/>
      <c r="D647" s="49"/>
      <c r="E647" s="51"/>
      <c r="F647" s="6"/>
      <c r="G647" s="6"/>
      <c r="H647" s="6"/>
      <c r="I647" s="6"/>
      <c r="J647" s="6"/>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6"/>
      <c r="D648" s="49"/>
      <c r="E648" s="51"/>
      <c r="F648" s="6"/>
      <c r="G648" s="6"/>
      <c r="H648" s="6"/>
      <c r="I648" s="6"/>
      <c r="J648" s="6"/>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6"/>
      <c r="D649" s="49"/>
      <c r="E649" s="51"/>
      <c r="F649" s="6"/>
      <c r="G649" s="6"/>
      <c r="H649" s="6"/>
      <c r="I649" s="6"/>
      <c r="J649" s="6"/>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6"/>
      <c r="D650" s="49"/>
      <c r="E650" s="51"/>
      <c r="F650" s="6"/>
      <c r="G650" s="6"/>
      <c r="H650" s="6"/>
      <c r="I650" s="6"/>
      <c r="J650" s="6"/>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6"/>
      <c r="D651" s="49"/>
      <c r="E651" s="51"/>
      <c r="F651" s="6"/>
      <c r="G651" s="6"/>
      <c r="H651" s="6"/>
      <c r="I651" s="6"/>
      <c r="J651" s="6"/>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6"/>
      <c r="D652" s="49"/>
      <c r="E652" s="51"/>
      <c r="F652" s="6"/>
      <c r="G652" s="6"/>
      <c r="H652" s="6"/>
      <c r="I652" s="6"/>
      <c r="J652" s="6"/>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6"/>
      <c r="D653" s="49"/>
      <c r="E653" s="51"/>
      <c r="F653" s="6"/>
      <c r="G653" s="6"/>
      <c r="H653" s="6"/>
      <c r="I653" s="6"/>
      <c r="J653" s="6"/>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6"/>
      <c r="D654" s="49"/>
      <c r="E654" s="51"/>
      <c r="F654" s="6"/>
      <c r="G654" s="6"/>
      <c r="H654" s="6"/>
      <c r="I654" s="6"/>
      <c r="J654" s="6"/>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6"/>
      <c r="D655" s="49"/>
      <c r="E655" s="51"/>
      <c r="F655" s="6"/>
      <c r="G655" s="6"/>
      <c r="H655" s="6"/>
      <c r="I655" s="6"/>
      <c r="J655" s="6"/>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6"/>
      <c r="D656" s="49"/>
      <c r="E656" s="51"/>
      <c r="F656" s="6"/>
      <c r="G656" s="6"/>
      <c r="H656" s="6"/>
      <c r="I656" s="6"/>
      <c r="J656" s="6"/>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6"/>
      <c r="D657" s="49"/>
      <c r="E657" s="51"/>
      <c r="F657" s="6"/>
      <c r="G657" s="6"/>
      <c r="H657" s="6"/>
      <c r="I657" s="6"/>
      <c r="J657" s="6"/>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6"/>
      <c r="D658" s="49"/>
      <c r="E658" s="51"/>
      <c r="F658" s="6"/>
      <c r="G658" s="6"/>
      <c r="H658" s="6"/>
      <c r="I658" s="6"/>
      <c r="J658" s="6"/>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6"/>
      <c r="D659" s="49"/>
      <c r="E659" s="51"/>
      <c r="F659" s="6"/>
      <c r="G659" s="6"/>
      <c r="H659" s="6"/>
      <c r="I659" s="6"/>
      <c r="J659" s="6"/>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6"/>
      <c r="D660" s="49"/>
      <c r="E660" s="51"/>
      <c r="F660" s="6"/>
      <c r="G660" s="6"/>
      <c r="H660" s="6"/>
      <c r="I660" s="6"/>
      <c r="J660" s="6"/>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6"/>
      <c r="D661" s="49"/>
      <c r="E661" s="51"/>
      <c r="F661" s="6"/>
      <c r="G661" s="6"/>
      <c r="H661" s="6"/>
      <c r="I661" s="6"/>
      <c r="J661" s="6"/>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6"/>
      <c r="D662" s="49"/>
      <c r="E662" s="51"/>
      <c r="F662" s="6"/>
      <c r="G662" s="6"/>
      <c r="H662" s="6"/>
      <c r="I662" s="6"/>
      <c r="J662" s="6"/>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6"/>
      <c r="D663" s="49"/>
      <c r="E663" s="51"/>
      <c r="F663" s="6"/>
      <c r="G663" s="6"/>
      <c r="H663" s="6"/>
      <c r="I663" s="6"/>
      <c r="J663" s="6"/>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6"/>
      <c r="D664" s="49"/>
      <c r="E664" s="51"/>
      <c r="F664" s="6"/>
      <c r="G664" s="6"/>
      <c r="H664" s="6"/>
      <c r="I664" s="6"/>
      <c r="J664" s="6"/>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6"/>
      <c r="D665" s="49"/>
      <c r="E665" s="51"/>
      <c r="F665" s="6"/>
      <c r="G665" s="6"/>
      <c r="H665" s="6"/>
      <c r="I665" s="6"/>
      <c r="J665" s="6"/>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6"/>
      <c r="D666" s="49"/>
      <c r="E666" s="51"/>
      <c r="F666" s="6"/>
      <c r="G666" s="6"/>
      <c r="H666" s="6"/>
      <c r="I666" s="6"/>
      <c r="J666" s="6"/>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6"/>
      <c r="D667" s="49"/>
      <c r="E667" s="51"/>
      <c r="F667" s="6"/>
      <c r="G667" s="6"/>
      <c r="H667" s="6"/>
      <c r="I667" s="6"/>
      <c r="J667" s="6"/>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6"/>
      <c r="D668" s="49"/>
      <c r="E668" s="51"/>
      <c r="F668" s="6"/>
      <c r="G668" s="6"/>
      <c r="H668" s="6"/>
      <c r="I668" s="6"/>
      <c r="J668" s="6"/>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6"/>
      <c r="D669" s="49"/>
      <c r="E669" s="51"/>
      <c r="F669" s="6"/>
      <c r="G669" s="6"/>
      <c r="H669" s="6"/>
      <c r="I669" s="6"/>
      <c r="J669" s="6"/>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6"/>
      <c r="D670" s="49"/>
      <c r="E670" s="51"/>
      <c r="F670" s="6"/>
      <c r="G670" s="6"/>
      <c r="H670" s="6"/>
      <c r="I670" s="6"/>
      <c r="J670" s="6"/>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6"/>
      <c r="D671" s="49"/>
      <c r="E671" s="51"/>
      <c r="F671" s="6"/>
      <c r="G671" s="6"/>
      <c r="H671" s="6"/>
      <c r="I671" s="6"/>
      <c r="J671" s="6"/>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6"/>
      <c r="D672" s="49"/>
      <c r="E672" s="51"/>
      <c r="F672" s="6"/>
      <c r="G672" s="6"/>
      <c r="H672" s="6"/>
      <c r="I672" s="6"/>
      <c r="J672" s="6"/>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6"/>
      <c r="D673" s="49"/>
      <c r="E673" s="51"/>
      <c r="F673" s="6"/>
      <c r="G673" s="6"/>
      <c r="H673" s="6"/>
      <c r="I673" s="6"/>
      <c r="J673" s="6"/>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6"/>
      <c r="D674" s="49"/>
      <c r="E674" s="51"/>
      <c r="F674" s="6"/>
      <c r="G674" s="6"/>
      <c r="H674" s="6"/>
      <c r="I674" s="6"/>
      <c r="J674" s="6"/>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6"/>
      <c r="D675" s="49"/>
      <c r="E675" s="51"/>
      <c r="F675" s="6"/>
      <c r="G675" s="6"/>
      <c r="H675" s="6"/>
      <c r="I675" s="6"/>
      <c r="J675" s="6"/>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6"/>
      <c r="D676" s="49"/>
      <c r="E676" s="51"/>
      <c r="F676" s="6"/>
      <c r="G676" s="6"/>
      <c r="H676" s="6"/>
      <c r="I676" s="6"/>
      <c r="J676" s="6"/>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6"/>
      <c r="D677" s="49"/>
      <c r="E677" s="51"/>
      <c r="F677" s="6"/>
      <c r="G677" s="6"/>
      <c r="H677" s="6"/>
      <c r="I677" s="6"/>
      <c r="J677" s="6"/>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6"/>
      <c r="D678" s="49"/>
      <c r="E678" s="51"/>
      <c r="F678" s="6"/>
      <c r="G678" s="6"/>
      <c r="H678" s="6"/>
      <c r="I678" s="6"/>
      <c r="J678" s="6"/>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6"/>
      <c r="D679" s="49"/>
      <c r="E679" s="51"/>
      <c r="F679" s="6"/>
      <c r="G679" s="6"/>
      <c r="H679" s="6"/>
      <c r="I679" s="6"/>
      <c r="J679" s="6"/>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6"/>
      <c r="D680" s="49"/>
      <c r="E680" s="51"/>
      <c r="F680" s="6"/>
      <c r="G680" s="6"/>
      <c r="H680" s="6"/>
      <c r="I680" s="6"/>
      <c r="J680" s="6"/>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6"/>
      <c r="D681" s="49"/>
      <c r="E681" s="51"/>
      <c r="F681" s="6"/>
      <c r="G681" s="6"/>
      <c r="H681" s="6"/>
      <c r="I681" s="6"/>
      <c r="J681" s="6"/>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6"/>
      <c r="D682" s="49"/>
      <c r="E682" s="51"/>
      <c r="F682" s="6"/>
      <c r="G682" s="6"/>
      <c r="H682" s="6"/>
      <c r="I682" s="6"/>
      <c r="J682" s="6"/>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6"/>
      <c r="D683" s="49"/>
      <c r="E683" s="51"/>
      <c r="F683" s="6"/>
      <c r="G683" s="6"/>
      <c r="H683" s="6"/>
      <c r="I683" s="6"/>
      <c r="J683" s="6"/>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6"/>
      <c r="D684" s="49"/>
      <c r="E684" s="51"/>
      <c r="F684" s="6"/>
      <c r="G684" s="6"/>
      <c r="H684" s="6"/>
      <c r="I684" s="6"/>
      <c r="J684" s="6"/>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6"/>
      <c r="D685" s="49"/>
      <c r="E685" s="51"/>
      <c r="F685" s="6"/>
      <c r="G685" s="6"/>
      <c r="H685" s="6"/>
      <c r="I685" s="6"/>
      <c r="J685" s="6"/>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6"/>
      <c r="D686" s="49"/>
      <c r="E686" s="51"/>
      <c r="F686" s="6"/>
      <c r="G686" s="6"/>
      <c r="H686" s="6"/>
      <c r="I686" s="6"/>
      <c r="J686" s="6"/>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6"/>
      <c r="D687" s="49"/>
      <c r="E687" s="51"/>
      <c r="F687" s="6"/>
      <c r="G687" s="6"/>
      <c r="H687" s="6"/>
      <c r="I687" s="6"/>
      <c r="J687" s="6"/>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6"/>
      <c r="D688" s="49"/>
      <c r="E688" s="51"/>
      <c r="F688" s="6"/>
      <c r="G688" s="6"/>
      <c r="H688" s="6"/>
      <c r="I688" s="6"/>
      <c r="J688" s="6"/>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6"/>
      <c r="D689" s="49"/>
      <c r="E689" s="51"/>
      <c r="F689" s="6"/>
      <c r="G689" s="6"/>
      <c r="H689" s="6"/>
      <c r="I689" s="6"/>
      <c r="J689" s="6"/>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6"/>
      <c r="D690" s="49"/>
      <c r="E690" s="51"/>
      <c r="F690" s="6"/>
      <c r="G690" s="6"/>
      <c r="H690" s="6"/>
      <c r="I690" s="6"/>
      <c r="J690" s="6"/>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6"/>
      <c r="D691" s="49"/>
      <c r="E691" s="51"/>
      <c r="F691" s="6"/>
      <c r="G691" s="6"/>
      <c r="H691" s="6"/>
      <c r="I691" s="6"/>
      <c r="J691" s="6"/>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6"/>
      <c r="D692" s="49"/>
      <c r="E692" s="51"/>
      <c r="F692" s="6"/>
      <c r="G692" s="6"/>
      <c r="H692" s="6"/>
      <c r="I692" s="6"/>
      <c r="J692" s="6"/>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6"/>
      <c r="D693" s="49"/>
      <c r="E693" s="51"/>
      <c r="F693" s="6"/>
      <c r="G693" s="6"/>
      <c r="H693" s="6"/>
      <c r="I693" s="6"/>
      <c r="J693" s="6"/>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6"/>
      <c r="D694" s="49"/>
      <c r="E694" s="51"/>
      <c r="F694" s="6"/>
      <c r="G694" s="6"/>
      <c r="H694" s="6"/>
      <c r="I694" s="6"/>
      <c r="J694" s="6"/>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6"/>
      <c r="D695" s="49"/>
      <c r="E695" s="51"/>
      <c r="F695" s="6"/>
      <c r="G695" s="6"/>
      <c r="H695" s="6"/>
      <c r="I695" s="6"/>
      <c r="J695" s="6"/>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6"/>
      <c r="D696" s="49"/>
      <c r="E696" s="51"/>
      <c r="F696" s="6"/>
      <c r="G696" s="6"/>
      <c r="H696" s="6"/>
      <c r="I696" s="6"/>
      <c r="J696" s="6"/>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6"/>
      <c r="D697" s="49"/>
      <c r="E697" s="51"/>
      <c r="F697" s="6"/>
      <c r="G697" s="6"/>
      <c r="H697" s="6"/>
      <c r="I697" s="6"/>
      <c r="J697" s="6"/>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6"/>
      <c r="D698" s="49"/>
      <c r="E698" s="51"/>
      <c r="F698" s="6"/>
      <c r="G698" s="6"/>
      <c r="H698" s="6"/>
      <c r="I698" s="6"/>
      <c r="J698" s="6"/>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6"/>
      <c r="D699" s="49"/>
      <c r="E699" s="51"/>
      <c r="F699" s="6"/>
      <c r="G699" s="6"/>
      <c r="H699" s="6"/>
      <c r="I699" s="6"/>
      <c r="J699" s="6"/>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6"/>
      <c r="D700" s="49"/>
      <c r="E700" s="51"/>
      <c r="F700" s="6"/>
      <c r="G700" s="6"/>
      <c r="H700" s="6"/>
      <c r="I700" s="6"/>
      <c r="J700" s="6"/>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6"/>
      <c r="D701" s="49"/>
      <c r="E701" s="51"/>
      <c r="F701" s="6"/>
      <c r="G701" s="6"/>
      <c r="H701" s="6"/>
      <c r="I701" s="6"/>
      <c r="J701" s="6"/>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6"/>
      <c r="D702" s="49"/>
      <c r="E702" s="51"/>
      <c r="F702" s="6"/>
      <c r="G702" s="6"/>
      <c r="H702" s="6"/>
      <c r="I702" s="6"/>
      <c r="J702" s="6"/>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6"/>
      <c r="D703" s="49"/>
      <c r="E703" s="51"/>
      <c r="F703" s="6"/>
      <c r="G703" s="6"/>
      <c r="H703" s="6"/>
      <c r="I703" s="6"/>
      <c r="J703" s="6"/>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6"/>
      <c r="D704" s="49"/>
      <c r="E704" s="51"/>
      <c r="F704" s="6"/>
      <c r="G704" s="6"/>
      <c r="H704" s="6"/>
      <c r="I704" s="6"/>
      <c r="J704" s="6"/>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6"/>
      <c r="D705" s="49"/>
      <c r="E705" s="51"/>
      <c r="F705" s="6"/>
      <c r="G705" s="6"/>
      <c r="H705" s="6"/>
      <c r="I705" s="6"/>
      <c r="J705" s="6"/>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6"/>
      <c r="D706" s="49"/>
      <c r="E706" s="51"/>
      <c r="F706" s="6"/>
      <c r="G706" s="6"/>
      <c r="H706" s="6"/>
      <c r="I706" s="6"/>
      <c r="J706" s="6"/>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6"/>
      <c r="D707" s="49"/>
      <c r="E707" s="51"/>
      <c r="F707" s="6"/>
      <c r="G707" s="6"/>
      <c r="H707" s="6"/>
      <c r="I707" s="6"/>
      <c r="J707" s="6"/>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6"/>
      <c r="D708" s="49"/>
      <c r="E708" s="51"/>
      <c r="F708" s="6"/>
      <c r="G708" s="6"/>
      <c r="H708" s="6"/>
      <c r="I708" s="6"/>
      <c r="J708" s="6"/>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6"/>
      <c r="D709" s="49"/>
      <c r="E709" s="51"/>
      <c r="F709" s="6"/>
      <c r="G709" s="6"/>
      <c r="H709" s="6"/>
      <c r="I709" s="6"/>
      <c r="J709" s="6"/>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6"/>
      <c r="D710" s="49"/>
      <c r="E710" s="51"/>
      <c r="F710" s="6"/>
      <c r="G710" s="6"/>
      <c r="H710" s="6"/>
      <c r="I710" s="6"/>
      <c r="J710" s="6"/>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6"/>
      <c r="D711" s="49"/>
      <c r="E711" s="51"/>
      <c r="F711" s="6"/>
      <c r="G711" s="6"/>
      <c r="H711" s="6"/>
      <c r="I711" s="6"/>
      <c r="J711" s="6"/>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6"/>
      <c r="D712" s="49"/>
      <c r="E712" s="51"/>
      <c r="F712" s="6"/>
      <c r="G712" s="6"/>
      <c r="H712" s="6"/>
      <c r="I712" s="6"/>
      <c r="J712" s="6"/>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6"/>
      <c r="D713" s="49"/>
      <c r="E713" s="51"/>
      <c r="F713" s="6"/>
      <c r="G713" s="6"/>
      <c r="H713" s="6"/>
      <c r="I713" s="6"/>
      <c r="J713" s="6"/>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6"/>
      <c r="D714" s="49"/>
      <c r="E714" s="51"/>
      <c r="F714" s="6"/>
      <c r="G714" s="6"/>
      <c r="H714" s="6"/>
      <c r="I714" s="6"/>
      <c r="J714" s="6"/>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6"/>
      <c r="D715" s="49"/>
      <c r="E715" s="51"/>
      <c r="F715" s="6"/>
      <c r="G715" s="6"/>
      <c r="H715" s="6"/>
      <c r="I715" s="6"/>
      <c r="J715" s="6"/>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6"/>
      <c r="D716" s="49"/>
      <c r="E716" s="51"/>
      <c r="F716" s="6"/>
      <c r="G716" s="6"/>
      <c r="H716" s="6"/>
      <c r="I716" s="6"/>
      <c r="J716" s="6"/>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6"/>
      <c r="D717" s="49"/>
      <c r="E717" s="51"/>
      <c r="F717" s="6"/>
      <c r="G717" s="6"/>
      <c r="H717" s="6"/>
      <c r="I717" s="6"/>
      <c r="J717" s="6"/>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6"/>
      <c r="D718" s="49"/>
      <c r="E718" s="51"/>
      <c r="F718" s="6"/>
      <c r="G718" s="6"/>
      <c r="H718" s="6"/>
      <c r="I718" s="6"/>
      <c r="J718" s="6"/>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6"/>
      <c r="D719" s="49"/>
      <c r="E719" s="51"/>
      <c r="F719" s="6"/>
      <c r="G719" s="6"/>
      <c r="H719" s="6"/>
      <c r="I719" s="6"/>
      <c r="J719" s="6"/>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6"/>
      <c r="D720" s="49"/>
      <c r="E720" s="51"/>
      <c r="F720" s="6"/>
      <c r="G720" s="6"/>
      <c r="H720" s="6"/>
      <c r="I720" s="6"/>
      <c r="J720" s="6"/>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6"/>
      <c r="D721" s="49"/>
      <c r="E721" s="51"/>
      <c r="F721" s="6"/>
      <c r="G721" s="6"/>
      <c r="H721" s="6"/>
      <c r="I721" s="6"/>
      <c r="J721" s="6"/>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6"/>
      <c r="D722" s="49"/>
      <c r="E722" s="51"/>
      <c r="F722" s="6"/>
      <c r="G722" s="6"/>
      <c r="H722" s="6"/>
      <c r="I722" s="6"/>
      <c r="J722" s="6"/>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6"/>
      <c r="D723" s="49"/>
      <c r="E723" s="51"/>
      <c r="F723" s="6"/>
      <c r="G723" s="6"/>
      <c r="H723" s="6"/>
      <c r="I723" s="6"/>
      <c r="J723" s="6"/>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6"/>
      <c r="D724" s="49"/>
      <c r="E724" s="51"/>
      <c r="F724" s="6"/>
      <c r="G724" s="6"/>
      <c r="H724" s="6"/>
      <c r="I724" s="6"/>
      <c r="J724" s="6"/>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6"/>
      <c r="D725" s="49"/>
      <c r="E725" s="51"/>
      <c r="F725" s="6"/>
      <c r="G725" s="6"/>
      <c r="H725" s="6"/>
      <c r="I725" s="6"/>
      <c r="J725" s="6"/>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6"/>
      <c r="D726" s="49"/>
      <c r="E726" s="51"/>
      <c r="F726" s="6"/>
      <c r="G726" s="6"/>
      <c r="H726" s="6"/>
      <c r="I726" s="6"/>
      <c r="J726" s="6"/>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6"/>
      <c r="D727" s="49"/>
      <c r="E727" s="51"/>
      <c r="F727" s="6"/>
      <c r="G727" s="6"/>
      <c r="H727" s="6"/>
      <c r="I727" s="6"/>
      <c r="J727" s="6"/>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6"/>
      <c r="D728" s="49"/>
      <c r="E728" s="51"/>
      <c r="F728" s="6"/>
      <c r="G728" s="6"/>
      <c r="H728" s="6"/>
      <c r="I728" s="6"/>
      <c r="J728" s="6"/>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6"/>
      <c r="D729" s="49"/>
      <c r="E729" s="51"/>
      <c r="F729" s="6"/>
      <c r="G729" s="6"/>
      <c r="H729" s="6"/>
      <c r="I729" s="6"/>
      <c r="J729" s="6"/>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6"/>
      <c r="D730" s="49"/>
      <c r="E730" s="51"/>
      <c r="F730" s="6"/>
      <c r="G730" s="6"/>
      <c r="H730" s="6"/>
      <c r="I730" s="6"/>
      <c r="J730" s="6"/>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6"/>
      <c r="D731" s="49"/>
      <c r="E731" s="51"/>
      <c r="F731" s="6"/>
      <c r="G731" s="6"/>
      <c r="H731" s="6"/>
      <c r="I731" s="6"/>
      <c r="J731" s="6"/>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6"/>
      <c r="D732" s="49"/>
      <c r="E732" s="51"/>
      <c r="F732" s="6"/>
      <c r="G732" s="6"/>
      <c r="H732" s="6"/>
      <c r="I732" s="6"/>
      <c r="J732" s="6"/>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6"/>
      <c r="D733" s="49"/>
      <c r="E733" s="51"/>
      <c r="F733" s="6"/>
      <c r="G733" s="6"/>
      <c r="H733" s="6"/>
      <c r="I733" s="6"/>
      <c r="J733" s="6"/>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6"/>
      <c r="D734" s="49"/>
      <c r="E734" s="51"/>
      <c r="F734" s="6"/>
      <c r="G734" s="6"/>
      <c r="H734" s="6"/>
      <c r="I734" s="6"/>
      <c r="J734" s="6"/>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6"/>
      <c r="D735" s="49"/>
      <c r="E735" s="51"/>
      <c r="F735" s="6"/>
      <c r="G735" s="6"/>
      <c r="H735" s="6"/>
      <c r="I735" s="6"/>
      <c r="J735" s="6"/>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6"/>
      <c r="D736" s="49"/>
      <c r="E736" s="51"/>
      <c r="F736" s="6"/>
      <c r="G736" s="6"/>
      <c r="H736" s="6"/>
      <c r="I736" s="6"/>
      <c r="J736" s="6"/>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6"/>
      <c r="D737" s="49"/>
      <c r="E737" s="51"/>
      <c r="F737" s="6"/>
      <c r="G737" s="6"/>
      <c r="H737" s="6"/>
      <c r="I737" s="6"/>
      <c r="J737" s="6"/>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6"/>
      <c r="D738" s="49"/>
      <c r="E738" s="51"/>
      <c r="F738" s="6"/>
      <c r="G738" s="6"/>
      <c r="H738" s="6"/>
      <c r="I738" s="6"/>
      <c r="J738" s="6"/>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6"/>
      <c r="D739" s="49"/>
      <c r="E739" s="51"/>
      <c r="F739" s="6"/>
      <c r="G739" s="6"/>
      <c r="H739" s="6"/>
      <c r="I739" s="6"/>
      <c r="J739" s="6"/>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6"/>
      <c r="D740" s="49"/>
      <c r="E740" s="51"/>
      <c r="F740" s="6"/>
      <c r="G740" s="6"/>
      <c r="H740" s="6"/>
      <c r="I740" s="6"/>
      <c r="J740" s="6"/>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6"/>
      <c r="D741" s="49"/>
      <c r="E741" s="51"/>
      <c r="F741" s="6"/>
      <c r="G741" s="6"/>
      <c r="H741" s="6"/>
      <c r="I741" s="6"/>
      <c r="J741" s="6"/>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6"/>
      <c r="D742" s="49"/>
      <c r="E742" s="51"/>
      <c r="F742" s="6"/>
      <c r="G742" s="6"/>
      <c r="H742" s="6"/>
      <c r="I742" s="6"/>
      <c r="J742" s="6"/>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6"/>
      <c r="D743" s="49"/>
      <c r="E743" s="51"/>
      <c r="F743" s="6"/>
      <c r="G743" s="6"/>
      <c r="H743" s="6"/>
      <c r="I743" s="6"/>
      <c r="J743" s="6"/>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6"/>
      <c r="D744" s="49"/>
      <c r="E744" s="51"/>
      <c r="F744" s="6"/>
      <c r="G744" s="6"/>
      <c r="H744" s="6"/>
      <c r="I744" s="6"/>
      <c r="J744" s="6"/>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6"/>
      <c r="D745" s="49"/>
      <c r="E745" s="51"/>
      <c r="F745" s="6"/>
      <c r="G745" s="6"/>
      <c r="H745" s="6"/>
      <c r="I745" s="6"/>
      <c r="J745" s="6"/>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6"/>
      <c r="D746" s="49"/>
      <c r="E746" s="51"/>
      <c r="F746" s="6"/>
      <c r="G746" s="6"/>
      <c r="H746" s="6"/>
      <c r="I746" s="6"/>
      <c r="J746" s="6"/>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6"/>
      <c r="D747" s="49"/>
      <c r="E747" s="51"/>
      <c r="F747" s="6"/>
      <c r="G747" s="6"/>
      <c r="H747" s="6"/>
      <c r="I747" s="6"/>
      <c r="J747" s="6"/>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6"/>
      <c r="D748" s="49"/>
      <c r="E748" s="51"/>
      <c r="F748" s="6"/>
      <c r="G748" s="6"/>
      <c r="H748" s="6"/>
      <c r="I748" s="6"/>
      <c r="J748" s="6"/>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6"/>
      <c r="D749" s="49"/>
      <c r="E749" s="51"/>
      <c r="F749" s="6"/>
      <c r="G749" s="6"/>
      <c r="H749" s="6"/>
      <c r="I749" s="6"/>
      <c r="J749" s="6"/>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6"/>
      <c r="D750" s="49"/>
      <c r="E750" s="51"/>
      <c r="F750" s="6"/>
      <c r="G750" s="6"/>
      <c r="H750" s="6"/>
      <c r="I750" s="6"/>
      <c r="J750" s="6"/>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6"/>
      <c r="D751" s="49"/>
      <c r="E751" s="51"/>
      <c r="F751" s="6"/>
      <c r="G751" s="6"/>
      <c r="H751" s="6"/>
      <c r="I751" s="6"/>
      <c r="J751" s="6"/>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6"/>
      <c r="D752" s="49"/>
      <c r="E752" s="51"/>
      <c r="F752" s="6"/>
      <c r="G752" s="6"/>
      <c r="H752" s="6"/>
      <c r="I752" s="6"/>
      <c r="J752" s="6"/>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6"/>
      <c r="D753" s="49"/>
      <c r="E753" s="51"/>
      <c r="F753" s="6"/>
      <c r="G753" s="6"/>
      <c r="H753" s="6"/>
      <c r="I753" s="6"/>
      <c r="J753" s="6"/>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6"/>
      <c r="D754" s="49"/>
      <c r="E754" s="51"/>
      <c r="F754" s="6"/>
      <c r="G754" s="6"/>
      <c r="H754" s="6"/>
      <c r="I754" s="6"/>
      <c r="J754" s="6"/>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6"/>
      <c r="D755" s="49"/>
      <c r="E755" s="51"/>
      <c r="F755" s="6"/>
      <c r="G755" s="6"/>
      <c r="H755" s="6"/>
      <c r="I755" s="6"/>
      <c r="J755" s="6"/>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6"/>
      <c r="D756" s="49"/>
      <c r="E756" s="51"/>
      <c r="F756" s="6"/>
      <c r="G756" s="6"/>
      <c r="H756" s="6"/>
      <c r="I756" s="6"/>
      <c r="J756" s="6"/>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6"/>
      <c r="D757" s="49"/>
      <c r="E757" s="51"/>
      <c r="F757" s="6"/>
      <c r="G757" s="6"/>
      <c r="H757" s="6"/>
      <c r="I757" s="6"/>
      <c r="J757" s="6"/>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6"/>
      <c r="D758" s="49"/>
      <c r="E758" s="51"/>
      <c r="F758" s="6"/>
      <c r="G758" s="6"/>
      <c r="H758" s="6"/>
      <c r="I758" s="6"/>
      <c r="J758" s="6"/>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6"/>
      <c r="D759" s="49"/>
      <c r="E759" s="51"/>
      <c r="F759" s="6"/>
      <c r="G759" s="6"/>
      <c r="H759" s="6"/>
      <c r="I759" s="6"/>
      <c r="J759" s="6"/>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6"/>
      <c r="D760" s="49"/>
      <c r="E760" s="51"/>
      <c r="F760" s="6"/>
      <c r="G760" s="6"/>
      <c r="H760" s="6"/>
      <c r="I760" s="6"/>
      <c r="J760" s="6"/>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6"/>
      <c r="D761" s="49"/>
      <c r="E761" s="51"/>
      <c r="F761" s="6"/>
      <c r="G761" s="6"/>
      <c r="H761" s="6"/>
      <c r="I761" s="6"/>
      <c r="J761" s="6"/>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6"/>
      <c r="D762" s="49"/>
      <c r="E762" s="51"/>
      <c r="F762" s="6"/>
      <c r="G762" s="6"/>
      <c r="H762" s="6"/>
      <c r="I762" s="6"/>
      <c r="J762" s="6"/>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6"/>
      <c r="D763" s="49"/>
      <c r="E763" s="51"/>
      <c r="F763" s="6"/>
      <c r="G763" s="6"/>
      <c r="H763" s="6"/>
      <c r="I763" s="6"/>
      <c r="J763" s="6"/>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6"/>
      <c r="D764" s="49"/>
      <c r="E764" s="51"/>
      <c r="F764" s="6"/>
      <c r="G764" s="6"/>
      <c r="H764" s="6"/>
      <c r="I764" s="6"/>
      <c r="J764" s="6"/>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6"/>
      <c r="D765" s="49"/>
      <c r="E765" s="51"/>
      <c r="F765" s="6"/>
      <c r="G765" s="6"/>
      <c r="H765" s="6"/>
      <c r="I765" s="6"/>
      <c r="J765" s="6"/>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6"/>
      <c r="D766" s="49"/>
      <c r="E766" s="51"/>
      <c r="F766" s="6"/>
      <c r="G766" s="6"/>
      <c r="H766" s="6"/>
      <c r="I766" s="6"/>
      <c r="J766" s="6"/>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6"/>
      <c r="D767" s="49"/>
      <c r="E767" s="51"/>
      <c r="F767" s="6"/>
      <c r="G767" s="6"/>
      <c r="H767" s="6"/>
      <c r="I767" s="6"/>
      <c r="J767" s="6"/>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6"/>
      <c r="D768" s="49"/>
      <c r="E768" s="51"/>
      <c r="F768" s="6"/>
      <c r="G768" s="6"/>
      <c r="H768" s="6"/>
      <c r="I768" s="6"/>
      <c r="J768" s="6"/>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6"/>
      <c r="D769" s="49"/>
      <c r="E769" s="51"/>
      <c r="F769" s="6"/>
      <c r="G769" s="6"/>
      <c r="H769" s="6"/>
      <c r="I769" s="6"/>
      <c r="J769" s="6"/>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6"/>
      <c r="D770" s="49"/>
      <c r="E770" s="51"/>
      <c r="F770" s="6"/>
      <c r="G770" s="6"/>
      <c r="H770" s="6"/>
      <c r="I770" s="6"/>
      <c r="J770" s="6"/>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6"/>
      <c r="D771" s="49"/>
      <c r="E771" s="51"/>
      <c r="F771" s="6"/>
      <c r="G771" s="6"/>
      <c r="H771" s="6"/>
      <c r="I771" s="6"/>
      <c r="J771" s="6"/>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6"/>
      <c r="D772" s="49"/>
      <c r="E772" s="51"/>
      <c r="F772" s="6"/>
      <c r="G772" s="6"/>
      <c r="H772" s="6"/>
      <c r="I772" s="6"/>
      <c r="J772" s="6"/>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6"/>
      <c r="D773" s="49"/>
      <c r="E773" s="51"/>
      <c r="F773" s="6"/>
      <c r="G773" s="6"/>
      <c r="H773" s="6"/>
      <c r="I773" s="6"/>
      <c r="J773" s="6"/>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6"/>
      <c r="D774" s="49"/>
      <c r="E774" s="51"/>
      <c r="F774" s="6"/>
      <c r="G774" s="6"/>
      <c r="H774" s="6"/>
      <c r="I774" s="6"/>
      <c r="J774" s="6"/>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6"/>
      <c r="D775" s="49"/>
      <c r="E775" s="51"/>
      <c r="F775" s="6"/>
      <c r="G775" s="6"/>
      <c r="H775" s="6"/>
      <c r="I775" s="6"/>
      <c r="J775" s="6"/>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6"/>
      <c r="D776" s="49"/>
      <c r="E776" s="51"/>
      <c r="F776" s="6"/>
      <c r="G776" s="6"/>
      <c r="H776" s="6"/>
      <c r="I776" s="6"/>
      <c r="J776" s="6"/>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6"/>
      <c r="D777" s="49"/>
      <c r="E777" s="51"/>
      <c r="F777" s="6"/>
      <c r="G777" s="6"/>
      <c r="H777" s="6"/>
      <c r="I777" s="6"/>
      <c r="J777" s="6"/>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6"/>
      <c r="D778" s="49"/>
      <c r="E778" s="51"/>
      <c r="F778" s="6"/>
      <c r="G778" s="6"/>
      <c r="H778" s="6"/>
      <c r="I778" s="6"/>
      <c r="J778" s="6"/>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6"/>
      <c r="D779" s="49"/>
      <c r="E779" s="51"/>
      <c r="F779" s="6"/>
      <c r="G779" s="6"/>
      <c r="H779" s="6"/>
      <c r="I779" s="6"/>
      <c r="J779" s="6"/>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6"/>
      <c r="D780" s="49"/>
      <c r="E780" s="51"/>
      <c r="F780" s="6"/>
      <c r="G780" s="6"/>
      <c r="H780" s="6"/>
      <c r="I780" s="6"/>
      <c r="J780" s="6"/>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6"/>
      <c r="D781" s="49"/>
      <c r="E781" s="51"/>
      <c r="F781" s="6"/>
      <c r="G781" s="6"/>
      <c r="H781" s="6"/>
      <c r="I781" s="6"/>
      <c r="J781" s="6"/>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6"/>
      <c r="D782" s="49"/>
      <c r="E782" s="51"/>
      <c r="F782" s="6"/>
      <c r="G782" s="6"/>
      <c r="H782" s="6"/>
      <c r="I782" s="6"/>
      <c r="J782" s="6"/>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6"/>
      <c r="D783" s="49"/>
      <c r="E783" s="51"/>
      <c r="F783" s="6"/>
      <c r="G783" s="6"/>
      <c r="H783" s="6"/>
      <c r="I783" s="6"/>
      <c r="J783" s="6"/>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6"/>
      <c r="D784" s="49"/>
      <c r="E784" s="51"/>
      <c r="F784" s="6"/>
      <c r="G784" s="6"/>
      <c r="H784" s="6"/>
      <c r="I784" s="6"/>
      <c r="J784" s="6"/>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6"/>
      <c r="D785" s="49"/>
      <c r="E785" s="51"/>
      <c r="F785" s="6"/>
      <c r="G785" s="6"/>
      <c r="H785" s="6"/>
      <c r="I785" s="6"/>
      <c r="J785" s="6"/>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6"/>
      <c r="D786" s="49"/>
      <c r="E786" s="51"/>
      <c r="F786" s="6"/>
      <c r="G786" s="6"/>
      <c r="H786" s="6"/>
      <c r="I786" s="6"/>
      <c r="J786" s="6"/>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6"/>
      <c r="D787" s="49"/>
      <c r="E787" s="51"/>
      <c r="F787" s="6"/>
      <c r="G787" s="6"/>
      <c r="H787" s="6"/>
      <c r="I787" s="6"/>
      <c r="J787" s="6"/>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6"/>
      <c r="D788" s="49"/>
      <c r="E788" s="51"/>
      <c r="F788" s="6"/>
      <c r="G788" s="6"/>
      <c r="H788" s="6"/>
      <c r="I788" s="6"/>
      <c r="J788" s="6"/>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6"/>
      <c r="D789" s="49"/>
      <c r="E789" s="51"/>
      <c r="F789" s="6"/>
      <c r="G789" s="6"/>
      <c r="H789" s="6"/>
      <c r="I789" s="6"/>
      <c r="J789" s="6"/>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6"/>
      <c r="D790" s="49"/>
      <c r="E790" s="51"/>
      <c r="F790" s="6"/>
      <c r="G790" s="6"/>
      <c r="H790" s="6"/>
      <c r="I790" s="6"/>
      <c r="J790" s="6"/>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6"/>
      <c r="D791" s="49"/>
      <c r="E791" s="51"/>
      <c r="F791" s="6"/>
      <c r="G791" s="6"/>
      <c r="H791" s="6"/>
      <c r="I791" s="6"/>
      <c r="J791" s="6"/>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6"/>
      <c r="D792" s="49"/>
      <c r="E792" s="51"/>
      <c r="F792" s="6"/>
      <c r="G792" s="6"/>
      <c r="H792" s="6"/>
      <c r="I792" s="6"/>
      <c r="J792" s="6"/>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6"/>
      <c r="D793" s="49"/>
      <c r="E793" s="51"/>
      <c r="F793" s="6"/>
      <c r="G793" s="6"/>
      <c r="H793" s="6"/>
      <c r="I793" s="6"/>
      <c r="J793" s="6"/>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6"/>
      <c r="D794" s="49"/>
      <c r="E794" s="51"/>
      <c r="F794" s="6"/>
      <c r="G794" s="6"/>
      <c r="H794" s="6"/>
      <c r="I794" s="6"/>
      <c r="J794" s="6"/>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6"/>
      <c r="D795" s="49"/>
      <c r="E795" s="51"/>
      <c r="F795" s="6"/>
      <c r="G795" s="6"/>
      <c r="H795" s="6"/>
      <c r="I795" s="6"/>
      <c r="J795" s="6"/>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6"/>
      <c r="D796" s="49"/>
      <c r="E796" s="51"/>
      <c r="F796" s="6"/>
      <c r="G796" s="6"/>
      <c r="H796" s="6"/>
      <c r="I796" s="6"/>
      <c r="J796" s="6"/>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6"/>
      <c r="D797" s="49"/>
      <c r="E797" s="51"/>
      <c r="F797" s="6"/>
      <c r="G797" s="6"/>
      <c r="H797" s="6"/>
      <c r="I797" s="6"/>
      <c r="J797" s="6"/>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6"/>
      <c r="D798" s="49"/>
      <c r="E798" s="51"/>
      <c r="F798" s="6"/>
      <c r="G798" s="6"/>
      <c r="H798" s="6"/>
      <c r="I798" s="6"/>
      <c r="J798" s="6"/>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6"/>
      <c r="D799" s="49"/>
      <c r="E799" s="51"/>
      <c r="F799" s="6"/>
      <c r="G799" s="6"/>
      <c r="H799" s="6"/>
      <c r="I799" s="6"/>
      <c r="J799" s="6"/>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6"/>
      <c r="D800" s="49"/>
      <c r="E800" s="51"/>
      <c r="F800" s="6"/>
      <c r="G800" s="6"/>
      <c r="H800" s="6"/>
      <c r="I800" s="6"/>
      <c r="J800" s="6"/>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6"/>
      <c r="D801" s="49"/>
      <c r="E801" s="51"/>
      <c r="F801" s="6"/>
      <c r="G801" s="6"/>
      <c r="H801" s="6"/>
      <c r="I801" s="6"/>
      <c r="J801" s="6"/>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6"/>
      <c r="D802" s="49"/>
      <c r="E802" s="51"/>
      <c r="F802" s="6"/>
      <c r="G802" s="6"/>
      <c r="H802" s="6"/>
      <c r="I802" s="6"/>
      <c r="J802" s="6"/>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6"/>
      <c r="D803" s="49"/>
      <c r="E803" s="51"/>
      <c r="F803" s="6"/>
      <c r="G803" s="6"/>
      <c r="H803" s="6"/>
      <c r="I803" s="6"/>
      <c r="J803" s="6"/>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6"/>
      <c r="D804" s="49"/>
      <c r="E804" s="51"/>
      <c r="F804" s="6"/>
      <c r="G804" s="6"/>
      <c r="H804" s="6"/>
      <c r="I804" s="6"/>
      <c r="J804" s="6"/>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6"/>
      <c r="D805" s="49"/>
      <c r="E805" s="51"/>
      <c r="F805" s="6"/>
      <c r="G805" s="6"/>
      <c r="H805" s="6"/>
      <c r="I805" s="6"/>
      <c r="J805" s="6"/>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6"/>
      <c r="D806" s="49"/>
      <c r="E806" s="51"/>
      <c r="F806" s="6"/>
      <c r="G806" s="6"/>
      <c r="H806" s="6"/>
      <c r="I806" s="6"/>
      <c r="J806" s="6"/>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6"/>
      <c r="D807" s="49"/>
      <c r="E807" s="51"/>
      <c r="F807" s="6"/>
      <c r="G807" s="6"/>
      <c r="H807" s="6"/>
      <c r="I807" s="6"/>
      <c r="J807" s="6"/>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6"/>
      <c r="D808" s="49"/>
      <c r="E808" s="51"/>
      <c r="F808" s="6"/>
      <c r="G808" s="6"/>
      <c r="H808" s="6"/>
      <c r="I808" s="6"/>
      <c r="J808" s="6"/>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6"/>
      <c r="D809" s="49"/>
      <c r="E809" s="51"/>
      <c r="F809" s="6"/>
      <c r="G809" s="6"/>
      <c r="H809" s="6"/>
      <c r="I809" s="6"/>
      <c r="J809" s="6"/>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6"/>
      <c r="D810" s="49"/>
      <c r="E810" s="51"/>
      <c r="F810" s="6"/>
      <c r="G810" s="6"/>
      <c r="H810" s="6"/>
      <c r="I810" s="6"/>
      <c r="J810" s="6"/>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6"/>
      <c r="D811" s="49"/>
      <c r="E811" s="51"/>
      <c r="F811" s="6"/>
      <c r="G811" s="6"/>
      <c r="H811" s="6"/>
      <c r="I811" s="6"/>
      <c r="J811" s="6"/>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6"/>
      <c r="D812" s="49"/>
      <c r="E812" s="51"/>
      <c r="F812" s="6"/>
      <c r="G812" s="6"/>
      <c r="H812" s="6"/>
      <c r="I812" s="6"/>
      <c r="J812" s="6"/>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6"/>
      <c r="D813" s="49"/>
      <c r="E813" s="51"/>
      <c r="F813" s="6"/>
      <c r="G813" s="6"/>
      <c r="H813" s="6"/>
      <c r="I813" s="6"/>
      <c r="J813" s="6"/>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6"/>
      <c r="D814" s="49"/>
      <c r="E814" s="51"/>
      <c r="F814" s="6"/>
      <c r="G814" s="6"/>
      <c r="H814" s="6"/>
      <c r="I814" s="6"/>
      <c r="J814" s="6"/>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6"/>
      <c r="D815" s="49"/>
      <c r="E815" s="51"/>
      <c r="F815" s="6"/>
      <c r="G815" s="6"/>
      <c r="H815" s="6"/>
      <c r="I815" s="6"/>
      <c r="J815" s="6"/>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6"/>
      <c r="D816" s="49"/>
      <c r="E816" s="51"/>
      <c r="F816" s="6"/>
      <c r="G816" s="6"/>
      <c r="H816" s="6"/>
      <c r="I816" s="6"/>
      <c r="J816" s="6"/>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6"/>
      <c r="D817" s="49"/>
      <c r="E817" s="51"/>
      <c r="F817" s="6"/>
      <c r="G817" s="6"/>
      <c r="H817" s="6"/>
      <c r="I817" s="6"/>
      <c r="J817" s="6"/>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6"/>
      <c r="D818" s="49"/>
      <c r="E818" s="51"/>
      <c r="F818" s="6"/>
      <c r="G818" s="6"/>
      <c r="H818" s="6"/>
      <c r="I818" s="6"/>
      <c r="J818" s="6"/>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6"/>
      <c r="D819" s="49"/>
      <c r="E819" s="51"/>
      <c r="F819" s="6"/>
      <c r="G819" s="6"/>
      <c r="H819" s="6"/>
      <c r="I819" s="6"/>
      <c r="J819" s="6"/>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6"/>
      <c r="D820" s="49"/>
      <c r="E820" s="51"/>
      <c r="F820" s="6"/>
      <c r="G820" s="6"/>
      <c r="H820" s="6"/>
      <c r="I820" s="6"/>
      <c r="J820" s="6"/>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6"/>
      <c r="D821" s="49"/>
      <c r="E821" s="51"/>
      <c r="F821" s="6"/>
      <c r="G821" s="6"/>
      <c r="H821" s="6"/>
      <c r="I821" s="6"/>
      <c r="J821" s="6"/>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6"/>
      <c r="D822" s="49"/>
      <c r="E822" s="51"/>
      <c r="F822" s="6"/>
      <c r="G822" s="6"/>
      <c r="H822" s="6"/>
      <c r="I822" s="6"/>
      <c r="J822" s="6"/>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6"/>
      <c r="D823" s="49"/>
      <c r="E823" s="51"/>
      <c r="F823" s="6"/>
      <c r="G823" s="6"/>
      <c r="H823" s="6"/>
      <c r="I823" s="6"/>
      <c r="J823" s="6"/>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6"/>
      <c r="D824" s="49"/>
      <c r="E824" s="51"/>
      <c r="F824" s="6"/>
      <c r="G824" s="6"/>
      <c r="H824" s="6"/>
      <c r="I824" s="6"/>
      <c r="J824" s="6"/>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6"/>
      <c r="D825" s="49"/>
      <c r="E825" s="51"/>
      <c r="F825" s="6"/>
      <c r="G825" s="6"/>
      <c r="H825" s="6"/>
      <c r="I825" s="6"/>
      <c r="J825" s="6"/>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6"/>
      <c r="D826" s="49"/>
      <c r="E826" s="51"/>
      <c r="F826" s="6"/>
      <c r="G826" s="6"/>
      <c r="H826" s="6"/>
      <c r="I826" s="6"/>
      <c r="J826" s="6"/>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6"/>
      <c r="D827" s="49"/>
      <c r="E827" s="51"/>
      <c r="F827" s="6"/>
      <c r="G827" s="6"/>
      <c r="H827" s="6"/>
      <c r="I827" s="6"/>
      <c r="J827" s="6"/>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6"/>
      <c r="D828" s="49"/>
      <c r="E828" s="51"/>
      <c r="F828" s="6"/>
      <c r="G828" s="6"/>
      <c r="H828" s="6"/>
      <c r="I828" s="6"/>
      <c r="J828" s="6"/>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6"/>
      <c r="D829" s="49"/>
      <c r="E829" s="51"/>
      <c r="F829" s="6"/>
      <c r="G829" s="6"/>
      <c r="H829" s="6"/>
      <c r="I829" s="6"/>
      <c r="J829" s="6"/>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6"/>
      <c r="D830" s="49"/>
      <c r="E830" s="51"/>
      <c r="F830" s="6"/>
      <c r="G830" s="6"/>
      <c r="H830" s="6"/>
      <c r="I830" s="6"/>
      <c r="J830" s="6"/>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6"/>
      <c r="D831" s="49"/>
      <c r="E831" s="51"/>
      <c r="F831" s="6"/>
      <c r="G831" s="6"/>
      <c r="H831" s="6"/>
      <c r="I831" s="6"/>
      <c r="J831" s="6"/>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6"/>
      <c r="D832" s="49"/>
      <c r="E832" s="51"/>
      <c r="F832" s="6"/>
      <c r="G832" s="6"/>
      <c r="H832" s="6"/>
      <c r="I832" s="6"/>
      <c r="J832" s="6"/>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6"/>
      <c r="D833" s="49"/>
      <c r="E833" s="51"/>
      <c r="F833" s="6"/>
      <c r="G833" s="6"/>
      <c r="H833" s="6"/>
      <c r="I833" s="6"/>
      <c r="J833" s="6"/>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6"/>
      <c r="D834" s="49"/>
      <c r="E834" s="51"/>
      <c r="F834" s="6"/>
      <c r="G834" s="6"/>
      <c r="H834" s="6"/>
      <c r="I834" s="6"/>
      <c r="J834" s="6"/>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6"/>
      <c r="D835" s="49"/>
      <c r="E835" s="51"/>
      <c r="F835" s="6"/>
      <c r="G835" s="6"/>
      <c r="H835" s="6"/>
      <c r="I835" s="6"/>
      <c r="J835" s="6"/>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6"/>
      <c r="D836" s="49"/>
      <c r="E836" s="51"/>
      <c r="F836" s="6"/>
      <c r="G836" s="6"/>
      <c r="H836" s="6"/>
      <c r="I836" s="6"/>
      <c r="J836" s="6"/>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6"/>
      <c r="D837" s="49"/>
      <c r="E837" s="51"/>
      <c r="F837" s="6"/>
      <c r="G837" s="6"/>
      <c r="H837" s="6"/>
      <c r="I837" s="6"/>
      <c r="J837" s="6"/>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6"/>
      <c r="D838" s="49"/>
      <c r="E838" s="51"/>
      <c r="F838" s="6"/>
      <c r="G838" s="6"/>
      <c r="H838" s="6"/>
      <c r="I838" s="6"/>
      <c r="J838" s="6"/>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6"/>
      <c r="D839" s="49"/>
      <c r="E839" s="51"/>
      <c r="F839" s="6"/>
      <c r="G839" s="6"/>
      <c r="H839" s="6"/>
      <c r="I839" s="6"/>
      <c r="J839" s="6"/>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6"/>
      <c r="D840" s="49"/>
      <c r="E840" s="51"/>
      <c r="F840" s="6"/>
      <c r="G840" s="6"/>
      <c r="H840" s="6"/>
      <c r="I840" s="6"/>
      <c r="J840" s="6"/>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6"/>
      <c r="D841" s="49"/>
      <c r="E841" s="51"/>
      <c r="F841" s="6"/>
      <c r="G841" s="6"/>
      <c r="H841" s="6"/>
      <c r="I841" s="6"/>
      <c r="J841" s="6"/>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6"/>
      <c r="D842" s="49"/>
      <c r="E842" s="51"/>
      <c r="F842" s="6"/>
      <c r="G842" s="6"/>
      <c r="H842" s="6"/>
      <c r="I842" s="6"/>
      <c r="J842" s="6"/>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6"/>
      <c r="D843" s="49"/>
      <c r="E843" s="51"/>
      <c r="F843" s="6"/>
      <c r="G843" s="6"/>
      <c r="H843" s="6"/>
      <c r="I843" s="6"/>
      <c r="J843" s="6"/>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6"/>
      <c r="D844" s="49"/>
      <c r="E844" s="51"/>
      <c r="F844" s="6"/>
      <c r="G844" s="6"/>
      <c r="H844" s="6"/>
      <c r="I844" s="6"/>
      <c r="J844" s="6"/>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6"/>
      <c r="D845" s="49"/>
      <c r="E845" s="51"/>
      <c r="F845" s="6"/>
      <c r="G845" s="6"/>
      <c r="H845" s="6"/>
      <c r="I845" s="6"/>
      <c r="J845" s="6"/>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6"/>
      <c r="D846" s="49"/>
      <c r="E846" s="51"/>
      <c r="F846" s="6"/>
      <c r="G846" s="6"/>
      <c r="H846" s="6"/>
      <c r="I846" s="6"/>
      <c r="J846" s="6"/>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6"/>
      <c r="D847" s="49"/>
      <c r="E847" s="51"/>
      <c r="F847" s="6"/>
      <c r="G847" s="6"/>
      <c r="H847" s="6"/>
      <c r="I847" s="6"/>
      <c r="J847" s="6"/>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6"/>
      <c r="D848" s="49"/>
      <c r="E848" s="51"/>
      <c r="F848" s="6"/>
      <c r="G848" s="6"/>
      <c r="H848" s="6"/>
      <c r="I848" s="6"/>
      <c r="J848" s="6"/>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6"/>
      <c r="D849" s="49"/>
      <c r="E849" s="51"/>
      <c r="F849" s="6"/>
      <c r="G849" s="6"/>
      <c r="H849" s="6"/>
      <c r="I849" s="6"/>
      <c r="J849" s="6"/>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6"/>
      <c r="D850" s="49"/>
      <c r="E850" s="51"/>
      <c r="F850" s="6"/>
      <c r="G850" s="6"/>
      <c r="H850" s="6"/>
      <c r="I850" s="6"/>
      <c r="J850" s="6"/>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6"/>
      <c r="D851" s="49"/>
      <c r="E851" s="51"/>
      <c r="F851" s="6"/>
      <c r="G851" s="6"/>
      <c r="H851" s="6"/>
      <c r="I851" s="6"/>
      <c r="J851" s="6"/>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6"/>
      <c r="D852" s="49"/>
      <c r="E852" s="51"/>
      <c r="F852" s="6"/>
      <c r="G852" s="6"/>
      <c r="H852" s="6"/>
      <c r="I852" s="6"/>
      <c r="J852" s="6"/>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6"/>
      <c r="D853" s="49"/>
      <c r="E853" s="51"/>
      <c r="F853" s="6"/>
      <c r="G853" s="6"/>
      <c r="H853" s="6"/>
      <c r="I853" s="6"/>
      <c r="J853" s="6"/>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6"/>
      <c r="D854" s="49"/>
      <c r="E854" s="51"/>
      <c r="F854" s="6"/>
      <c r="G854" s="6"/>
      <c r="H854" s="6"/>
      <c r="I854" s="6"/>
      <c r="J854" s="6"/>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6"/>
      <c r="D855" s="49"/>
      <c r="E855" s="51"/>
      <c r="F855" s="6"/>
      <c r="G855" s="6"/>
      <c r="H855" s="6"/>
      <c r="I855" s="6"/>
      <c r="J855" s="6"/>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6"/>
      <c r="D856" s="49"/>
      <c r="E856" s="51"/>
      <c r="F856" s="6"/>
      <c r="G856" s="6"/>
      <c r="H856" s="6"/>
      <c r="I856" s="6"/>
      <c r="J856" s="6"/>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6"/>
      <c r="D857" s="49"/>
      <c r="E857" s="51"/>
      <c r="F857" s="6"/>
      <c r="G857" s="6"/>
      <c r="H857" s="6"/>
      <c r="I857" s="6"/>
      <c r="J857" s="6"/>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6"/>
      <c r="D858" s="49"/>
      <c r="E858" s="51"/>
      <c r="F858" s="6"/>
      <c r="G858" s="6"/>
      <c r="H858" s="6"/>
      <c r="I858" s="6"/>
      <c r="J858" s="6"/>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6"/>
      <c r="D859" s="49"/>
      <c r="E859" s="51"/>
      <c r="F859" s="6"/>
      <c r="G859" s="6"/>
      <c r="H859" s="6"/>
      <c r="I859" s="6"/>
      <c r="J859" s="6"/>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6"/>
      <c r="D860" s="49"/>
      <c r="E860" s="51"/>
      <c r="F860" s="6"/>
      <c r="G860" s="6"/>
      <c r="H860" s="6"/>
      <c r="I860" s="6"/>
      <c r="J860" s="6"/>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6"/>
      <c r="D861" s="49"/>
      <c r="E861" s="51"/>
      <c r="F861" s="6"/>
      <c r="G861" s="6"/>
      <c r="H861" s="6"/>
      <c r="I861" s="6"/>
      <c r="J861" s="6"/>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6"/>
      <c r="D862" s="49"/>
      <c r="E862" s="51"/>
      <c r="F862" s="6"/>
      <c r="G862" s="6"/>
      <c r="H862" s="6"/>
      <c r="I862" s="6"/>
      <c r="J862" s="6"/>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6"/>
      <c r="D863" s="49"/>
      <c r="E863" s="51"/>
      <c r="F863" s="6"/>
      <c r="G863" s="6"/>
      <c r="H863" s="6"/>
      <c r="I863" s="6"/>
      <c r="J863" s="6"/>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6"/>
      <c r="D864" s="49"/>
      <c r="E864" s="51"/>
      <c r="F864" s="6"/>
      <c r="G864" s="6"/>
      <c r="H864" s="6"/>
      <c r="I864" s="6"/>
      <c r="J864" s="6"/>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6"/>
      <c r="D865" s="49"/>
      <c r="E865" s="51"/>
      <c r="F865" s="6"/>
      <c r="G865" s="6"/>
      <c r="H865" s="6"/>
      <c r="I865" s="6"/>
      <c r="J865" s="6"/>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6"/>
      <c r="D866" s="49"/>
      <c r="E866" s="51"/>
      <c r="F866" s="6"/>
      <c r="G866" s="6"/>
      <c r="H866" s="6"/>
      <c r="I866" s="6"/>
      <c r="J866" s="6"/>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6"/>
      <c r="D867" s="49"/>
      <c r="E867" s="51"/>
      <c r="F867" s="6"/>
      <c r="G867" s="6"/>
      <c r="H867" s="6"/>
      <c r="I867" s="6"/>
      <c r="J867" s="6"/>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6"/>
      <c r="D868" s="49"/>
      <c r="E868" s="51"/>
      <c r="F868" s="6"/>
      <c r="G868" s="6"/>
      <c r="H868" s="6"/>
      <c r="I868" s="6"/>
      <c r="J868" s="6"/>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6"/>
      <c r="D869" s="49"/>
      <c r="E869" s="51"/>
      <c r="F869" s="6"/>
      <c r="G869" s="6"/>
      <c r="H869" s="6"/>
      <c r="I869" s="6"/>
      <c r="J869" s="6"/>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6"/>
      <c r="D870" s="49"/>
      <c r="E870" s="51"/>
      <c r="F870" s="6"/>
      <c r="G870" s="6"/>
      <c r="H870" s="6"/>
      <c r="I870" s="6"/>
      <c r="J870" s="6"/>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6"/>
      <c r="D871" s="49"/>
      <c r="E871" s="51"/>
      <c r="F871" s="6"/>
      <c r="G871" s="6"/>
      <c r="H871" s="6"/>
      <c r="I871" s="6"/>
      <c r="J871" s="6"/>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6"/>
      <c r="D872" s="49"/>
      <c r="E872" s="51"/>
      <c r="F872" s="6"/>
      <c r="G872" s="6"/>
      <c r="H872" s="6"/>
      <c r="I872" s="6"/>
      <c r="J872" s="6"/>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6"/>
      <c r="D873" s="49"/>
      <c r="E873" s="51"/>
      <c r="F873" s="6"/>
      <c r="G873" s="6"/>
      <c r="H873" s="6"/>
      <c r="I873" s="6"/>
      <c r="J873" s="6"/>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6"/>
      <c r="D874" s="49"/>
      <c r="E874" s="51"/>
      <c r="F874" s="6"/>
      <c r="G874" s="6"/>
      <c r="H874" s="6"/>
      <c r="I874" s="6"/>
      <c r="J874" s="6"/>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6"/>
      <c r="D875" s="49"/>
      <c r="E875" s="51"/>
      <c r="F875" s="6"/>
      <c r="G875" s="6"/>
      <c r="H875" s="6"/>
      <c r="I875" s="6"/>
      <c r="J875" s="6"/>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6"/>
      <c r="D876" s="49"/>
      <c r="E876" s="51"/>
      <c r="F876" s="6"/>
      <c r="G876" s="6"/>
      <c r="H876" s="6"/>
      <c r="I876" s="6"/>
      <c r="J876" s="6"/>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6"/>
      <c r="D877" s="49"/>
      <c r="E877" s="51"/>
      <c r="F877" s="6"/>
      <c r="G877" s="6"/>
      <c r="H877" s="6"/>
      <c r="I877" s="6"/>
      <c r="J877" s="6"/>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6"/>
      <c r="D878" s="49"/>
      <c r="E878" s="51"/>
      <c r="F878" s="6"/>
      <c r="G878" s="6"/>
      <c r="H878" s="6"/>
      <c r="I878" s="6"/>
      <c r="J878" s="6"/>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6"/>
      <c r="D879" s="49"/>
      <c r="E879" s="51"/>
      <c r="F879" s="6"/>
      <c r="G879" s="6"/>
      <c r="H879" s="6"/>
      <c r="I879" s="6"/>
      <c r="J879" s="6"/>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6"/>
      <c r="D880" s="49"/>
      <c r="E880" s="51"/>
      <c r="F880" s="6"/>
      <c r="G880" s="6"/>
      <c r="H880" s="6"/>
      <c r="I880" s="6"/>
      <c r="J880" s="6"/>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6"/>
      <c r="D881" s="49"/>
      <c r="E881" s="51"/>
      <c r="F881" s="6"/>
      <c r="G881" s="6"/>
      <c r="H881" s="6"/>
      <c r="I881" s="6"/>
      <c r="J881" s="6"/>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6"/>
      <c r="D882" s="49"/>
      <c r="E882" s="51"/>
      <c r="F882" s="6"/>
      <c r="G882" s="6"/>
      <c r="H882" s="6"/>
      <c r="I882" s="6"/>
      <c r="J882" s="6"/>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6"/>
      <c r="D883" s="49"/>
      <c r="E883" s="51"/>
      <c r="F883" s="6"/>
      <c r="G883" s="6"/>
      <c r="H883" s="6"/>
      <c r="I883" s="6"/>
      <c r="J883" s="6"/>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6"/>
      <c r="D884" s="49"/>
      <c r="E884" s="51"/>
      <c r="F884" s="6"/>
      <c r="G884" s="6"/>
      <c r="H884" s="6"/>
      <c r="I884" s="6"/>
      <c r="J884" s="6"/>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6"/>
      <c r="D885" s="49"/>
      <c r="E885" s="51"/>
      <c r="F885" s="6"/>
      <c r="G885" s="6"/>
      <c r="H885" s="6"/>
      <c r="I885" s="6"/>
      <c r="J885" s="6"/>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6"/>
      <c r="D886" s="49"/>
      <c r="E886" s="51"/>
      <c r="F886" s="6"/>
      <c r="G886" s="6"/>
      <c r="H886" s="6"/>
      <c r="I886" s="6"/>
      <c r="J886" s="6"/>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6"/>
      <c r="D887" s="49"/>
      <c r="E887" s="51"/>
      <c r="F887" s="6"/>
      <c r="G887" s="6"/>
      <c r="H887" s="6"/>
      <c r="I887" s="6"/>
      <c r="J887" s="6"/>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6"/>
      <c r="D888" s="49"/>
      <c r="E888" s="51"/>
      <c r="F888" s="6"/>
      <c r="G888" s="6"/>
      <c r="H888" s="6"/>
      <c r="I888" s="6"/>
      <c r="J888" s="6"/>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6"/>
      <c r="D889" s="49"/>
      <c r="E889" s="51"/>
      <c r="F889" s="6"/>
      <c r="G889" s="6"/>
      <c r="H889" s="6"/>
      <c r="I889" s="6"/>
      <c r="J889" s="6"/>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6"/>
      <c r="D890" s="49"/>
      <c r="E890" s="51"/>
      <c r="F890" s="6"/>
      <c r="G890" s="6"/>
      <c r="H890" s="6"/>
      <c r="I890" s="6"/>
      <c r="J890" s="6"/>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6"/>
      <c r="D891" s="49"/>
      <c r="E891" s="51"/>
      <c r="F891" s="6"/>
      <c r="G891" s="6"/>
      <c r="H891" s="6"/>
      <c r="I891" s="6"/>
      <c r="J891" s="6"/>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6"/>
      <c r="D892" s="49"/>
      <c r="E892" s="51"/>
      <c r="F892" s="6"/>
      <c r="G892" s="6"/>
      <c r="H892" s="6"/>
      <c r="I892" s="6"/>
      <c r="J892" s="6"/>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6"/>
      <c r="D893" s="49"/>
      <c r="E893" s="51"/>
      <c r="F893" s="6"/>
      <c r="G893" s="6"/>
      <c r="H893" s="6"/>
      <c r="I893" s="6"/>
      <c r="J893" s="6"/>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6"/>
      <c r="D894" s="49"/>
      <c r="E894" s="51"/>
      <c r="F894" s="6"/>
      <c r="G894" s="6"/>
      <c r="H894" s="6"/>
      <c r="I894" s="6"/>
      <c r="J894" s="6"/>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6"/>
      <c r="D895" s="49"/>
      <c r="E895" s="51"/>
      <c r="F895" s="6"/>
      <c r="G895" s="6"/>
      <c r="H895" s="6"/>
      <c r="I895" s="6"/>
      <c r="J895" s="6"/>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6"/>
      <c r="D896" s="49"/>
      <c r="E896" s="51"/>
      <c r="F896" s="6"/>
      <c r="G896" s="6"/>
      <c r="H896" s="6"/>
      <c r="I896" s="6"/>
      <c r="J896" s="6"/>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6"/>
      <c r="D897" s="49"/>
      <c r="E897" s="51"/>
      <c r="F897" s="6"/>
      <c r="G897" s="6"/>
      <c r="H897" s="6"/>
      <c r="I897" s="6"/>
      <c r="J897" s="6"/>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6"/>
      <c r="D898" s="49"/>
      <c r="E898" s="51"/>
      <c r="F898" s="6"/>
      <c r="G898" s="6"/>
      <c r="H898" s="6"/>
      <c r="I898" s="6"/>
      <c r="J898" s="6"/>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6"/>
      <c r="D899" s="49"/>
      <c r="E899" s="51"/>
      <c r="F899" s="6"/>
      <c r="G899" s="6"/>
      <c r="H899" s="6"/>
      <c r="I899" s="6"/>
      <c r="J899" s="6"/>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6"/>
      <c r="D900" s="49"/>
      <c r="E900" s="51"/>
      <c r="F900" s="6"/>
      <c r="G900" s="6"/>
      <c r="H900" s="6"/>
      <c r="I900" s="6"/>
      <c r="J900" s="6"/>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6"/>
      <c r="D901" s="49"/>
      <c r="E901" s="51"/>
      <c r="F901" s="6"/>
      <c r="G901" s="6"/>
      <c r="H901" s="6"/>
      <c r="I901" s="6"/>
      <c r="J901" s="6"/>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6"/>
      <c r="D902" s="49"/>
      <c r="E902" s="51"/>
      <c r="F902" s="6"/>
      <c r="G902" s="6"/>
      <c r="H902" s="6"/>
      <c r="I902" s="6"/>
      <c r="J902" s="6"/>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6"/>
      <c r="D903" s="49"/>
      <c r="E903" s="51"/>
      <c r="F903" s="6"/>
      <c r="G903" s="6"/>
      <c r="H903" s="6"/>
      <c r="I903" s="6"/>
      <c r="J903" s="6"/>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6"/>
      <c r="D904" s="49"/>
      <c r="E904" s="51"/>
      <c r="F904" s="6"/>
      <c r="G904" s="6"/>
      <c r="H904" s="6"/>
      <c r="I904" s="6"/>
      <c r="J904" s="6"/>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6"/>
      <c r="D905" s="49"/>
      <c r="E905" s="51"/>
      <c r="F905" s="6"/>
      <c r="G905" s="6"/>
      <c r="H905" s="6"/>
      <c r="I905" s="6"/>
      <c r="J905" s="6"/>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6"/>
      <c r="D906" s="49"/>
      <c r="E906" s="51"/>
      <c r="F906" s="6"/>
      <c r="G906" s="6"/>
      <c r="H906" s="6"/>
      <c r="I906" s="6"/>
      <c r="J906" s="6"/>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6"/>
      <c r="D907" s="49"/>
      <c r="E907" s="51"/>
      <c r="F907" s="6"/>
      <c r="G907" s="6"/>
      <c r="H907" s="6"/>
      <c r="I907" s="6"/>
      <c r="J907" s="6"/>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6"/>
      <c r="D908" s="49"/>
      <c r="E908" s="51"/>
      <c r="F908" s="6"/>
      <c r="G908" s="6"/>
      <c r="H908" s="6"/>
      <c r="I908" s="6"/>
      <c r="J908" s="6"/>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6"/>
      <c r="D909" s="49"/>
      <c r="E909" s="51"/>
      <c r="F909" s="6"/>
      <c r="G909" s="6"/>
      <c r="H909" s="6"/>
      <c r="I909" s="6"/>
      <c r="J909" s="6"/>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6"/>
      <c r="D910" s="49"/>
      <c r="E910" s="51"/>
      <c r="F910" s="6"/>
      <c r="G910" s="6"/>
      <c r="H910" s="6"/>
      <c r="I910" s="6"/>
      <c r="J910" s="6"/>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6"/>
      <c r="D911" s="49"/>
      <c r="E911" s="51"/>
      <c r="F911" s="6"/>
      <c r="G911" s="6"/>
      <c r="H911" s="6"/>
      <c r="I911" s="6"/>
      <c r="J911" s="6"/>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6"/>
      <c r="D912" s="49"/>
      <c r="E912" s="51"/>
      <c r="F912" s="6"/>
      <c r="G912" s="6"/>
      <c r="H912" s="6"/>
      <c r="I912" s="6"/>
      <c r="J912" s="6"/>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6"/>
      <c r="D913" s="49"/>
      <c r="E913" s="51"/>
      <c r="F913" s="6"/>
      <c r="G913" s="6"/>
      <c r="H913" s="6"/>
      <c r="I913" s="6"/>
      <c r="J913" s="6"/>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6"/>
      <c r="D914" s="49"/>
      <c r="E914" s="51"/>
      <c r="F914" s="6"/>
      <c r="G914" s="6"/>
      <c r="H914" s="6"/>
      <c r="I914" s="6"/>
      <c r="J914" s="6"/>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6"/>
      <c r="D915" s="49"/>
      <c r="E915" s="51"/>
      <c r="F915" s="6"/>
      <c r="G915" s="6"/>
      <c r="H915" s="6"/>
      <c r="I915" s="6"/>
      <c r="J915" s="6"/>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6"/>
      <c r="D916" s="49"/>
      <c r="E916" s="51"/>
      <c r="F916" s="6"/>
      <c r="G916" s="6"/>
      <c r="H916" s="6"/>
      <c r="I916" s="6"/>
      <c r="J916" s="6"/>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6"/>
      <c r="D917" s="49"/>
      <c r="E917" s="51"/>
      <c r="F917" s="6"/>
      <c r="G917" s="6"/>
      <c r="H917" s="6"/>
      <c r="I917" s="6"/>
      <c r="J917" s="6"/>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6"/>
      <c r="D918" s="49"/>
      <c r="E918" s="51"/>
      <c r="F918" s="6"/>
      <c r="G918" s="6"/>
      <c r="H918" s="6"/>
      <c r="I918" s="6"/>
      <c r="J918" s="6"/>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6"/>
      <c r="D919" s="49"/>
      <c r="E919" s="51"/>
      <c r="F919" s="6"/>
      <c r="G919" s="6"/>
      <c r="H919" s="6"/>
      <c r="I919" s="6"/>
      <c r="J919" s="6"/>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6"/>
      <c r="D920" s="49"/>
      <c r="E920" s="51"/>
      <c r="F920" s="6"/>
      <c r="G920" s="6"/>
      <c r="H920" s="6"/>
      <c r="I920" s="6"/>
      <c r="J920" s="6"/>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6"/>
      <c r="D921" s="49"/>
      <c r="E921" s="51"/>
      <c r="F921" s="6"/>
      <c r="G921" s="6"/>
      <c r="H921" s="6"/>
      <c r="I921" s="6"/>
      <c r="J921" s="6"/>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6"/>
      <c r="D922" s="49"/>
      <c r="E922" s="51"/>
      <c r="F922" s="6"/>
      <c r="G922" s="6"/>
      <c r="H922" s="6"/>
      <c r="I922" s="6"/>
      <c r="J922" s="6"/>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6"/>
      <c r="D923" s="49"/>
      <c r="E923" s="51"/>
      <c r="F923" s="6"/>
      <c r="G923" s="6"/>
      <c r="H923" s="6"/>
      <c r="I923" s="6"/>
      <c r="J923" s="6"/>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6"/>
      <c r="D924" s="49"/>
      <c r="E924" s="51"/>
      <c r="F924" s="6"/>
      <c r="G924" s="6"/>
      <c r="H924" s="6"/>
      <c r="I924" s="6"/>
      <c r="J924" s="6"/>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6"/>
      <c r="D925" s="49"/>
      <c r="E925" s="51"/>
      <c r="F925" s="6"/>
      <c r="G925" s="6"/>
      <c r="H925" s="6"/>
      <c r="I925" s="6"/>
      <c r="J925" s="6"/>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6"/>
      <c r="D926" s="49"/>
      <c r="E926" s="51"/>
      <c r="F926" s="6"/>
      <c r="G926" s="6"/>
      <c r="H926" s="6"/>
      <c r="I926" s="6"/>
      <c r="J926" s="6"/>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6"/>
      <c r="D927" s="49"/>
      <c r="E927" s="51"/>
      <c r="F927" s="6"/>
      <c r="G927" s="6"/>
      <c r="H927" s="6"/>
      <c r="I927" s="6"/>
      <c r="J927" s="6"/>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6"/>
      <c r="D928" s="49"/>
      <c r="E928" s="51"/>
      <c r="F928" s="6"/>
      <c r="G928" s="6"/>
      <c r="H928" s="6"/>
      <c r="I928" s="6"/>
      <c r="J928" s="6"/>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6"/>
      <c r="D929" s="49"/>
      <c r="E929" s="51"/>
      <c r="F929" s="6"/>
      <c r="G929" s="6"/>
      <c r="H929" s="6"/>
      <c r="I929" s="6"/>
      <c r="J929" s="6"/>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6"/>
      <c r="D930" s="49"/>
      <c r="E930" s="51"/>
      <c r="F930" s="6"/>
      <c r="G930" s="6"/>
      <c r="H930" s="6"/>
      <c r="I930" s="6"/>
      <c r="J930" s="6"/>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6"/>
      <c r="D931" s="49"/>
      <c r="E931" s="51"/>
      <c r="F931" s="6"/>
      <c r="G931" s="6"/>
      <c r="H931" s="6"/>
      <c r="I931" s="6"/>
      <c r="J931" s="6"/>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6"/>
      <c r="D932" s="49"/>
      <c r="E932" s="51"/>
      <c r="F932" s="6"/>
      <c r="G932" s="6"/>
      <c r="H932" s="6"/>
      <c r="I932" s="6"/>
      <c r="J932" s="6"/>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6"/>
      <c r="D933" s="49"/>
      <c r="E933" s="51"/>
      <c r="F933" s="6"/>
      <c r="G933" s="6"/>
      <c r="H933" s="6"/>
      <c r="I933" s="6"/>
      <c r="J933" s="6"/>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6"/>
      <c r="D934" s="49"/>
      <c r="E934" s="51"/>
      <c r="F934" s="6"/>
      <c r="G934" s="6"/>
      <c r="H934" s="6"/>
      <c r="I934" s="6"/>
      <c r="J934" s="6"/>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6"/>
      <c r="D935" s="49"/>
      <c r="E935" s="51"/>
      <c r="F935" s="6"/>
      <c r="G935" s="6"/>
      <c r="H935" s="6"/>
      <c r="I935" s="6"/>
      <c r="J935" s="6"/>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6"/>
      <c r="D936" s="49"/>
      <c r="E936" s="51"/>
      <c r="F936" s="6"/>
      <c r="G936" s="6"/>
      <c r="H936" s="6"/>
      <c r="I936" s="6"/>
      <c r="J936" s="6"/>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6"/>
      <c r="D937" s="49"/>
      <c r="E937" s="51"/>
      <c r="F937" s="6"/>
      <c r="G937" s="6"/>
      <c r="H937" s="6"/>
      <c r="I937" s="6"/>
      <c r="J937" s="6"/>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6"/>
      <c r="D938" s="49"/>
      <c r="E938" s="51"/>
      <c r="F938" s="6"/>
      <c r="G938" s="6"/>
      <c r="H938" s="6"/>
      <c r="I938" s="6"/>
      <c r="J938" s="6"/>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6"/>
      <c r="D939" s="49"/>
      <c r="E939" s="51"/>
      <c r="F939" s="6"/>
      <c r="G939" s="6"/>
      <c r="H939" s="6"/>
      <c r="I939" s="6"/>
      <c r="J939" s="6"/>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6"/>
      <c r="D940" s="49"/>
      <c r="E940" s="51"/>
      <c r="F940" s="6"/>
      <c r="G940" s="6"/>
      <c r="H940" s="6"/>
      <c r="I940" s="6"/>
      <c r="J940" s="6"/>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6"/>
      <c r="D941" s="49"/>
      <c r="E941" s="51"/>
      <c r="F941" s="6"/>
      <c r="G941" s="6"/>
      <c r="H941" s="6"/>
      <c r="I941" s="6"/>
      <c r="J941" s="6"/>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6"/>
      <c r="D942" s="49"/>
      <c r="E942" s="51"/>
      <c r="F942" s="6"/>
      <c r="G942" s="6"/>
      <c r="H942" s="6"/>
      <c r="I942" s="6"/>
      <c r="J942" s="6"/>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6"/>
      <c r="D943" s="49"/>
      <c r="E943" s="51"/>
      <c r="F943" s="6"/>
      <c r="G943" s="6"/>
      <c r="H943" s="6"/>
      <c r="I943" s="6"/>
      <c r="J943" s="6"/>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6"/>
      <c r="D944" s="49"/>
      <c r="E944" s="51"/>
      <c r="F944" s="6"/>
      <c r="G944" s="6"/>
      <c r="H944" s="6"/>
      <c r="I944" s="6"/>
      <c r="J944" s="6"/>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6"/>
      <c r="D945" s="49"/>
      <c r="E945" s="51"/>
      <c r="F945" s="6"/>
      <c r="G945" s="6"/>
      <c r="H945" s="6"/>
      <c r="I945" s="6"/>
      <c r="J945" s="6"/>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6"/>
      <c r="D946" s="49"/>
      <c r="E946" s="51"/>
      <c r="F946" s="6"/>
      <c r="G946" s="6"/>
      <c r="H946" s="6"/>
      <c r="I946" s="6"/>
      <c r="J946" s="6"/>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6"/>
      <c r="D947" s="49"/>
      <c r="E947" s="51"/>
      <c r="F947" s="6"/>
      <c r="G947" s="6"/>
      <c r="H947" s="6"/>
      <c r="I947" s="6"/>
      <c r="J947" s="6"/>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6"/>
      <c r="D948" s="49"/>
      <c r="E948" s="51"/>
      <c r="F948" s="6"/>
      <c r="G948" s="6"/>
      <c r="H948" s="6"/>
      <c r="I948" s="6"/>
      <c r="J948" s="6"/>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6"/>
      <c r="D949" s="49"/>
      <c r="E949" s="51"/>
      <c r="F949" s="6"/>
      <c r="G949" s="6"/>
      <c r="H949" s="6"/>
      <c r="I949" s="6"/>
      <c r="J949" s="6"/>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6"/>
      <c r="D950" s="49"/>
      <c r="E950" s="51"/>
      <c r="F950" s="6"/>
      <c r="G950" s="6"/>
      <c r="H950" s="6"/>
      <c r="I950" s="6"/>
      <c r="J950" s="6"/>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6"/>
      <c r="D951" s="49"/>
      <c r="E951" s="51"/>
      <c r="F951" s="6"/>
      <c r="G951" s="6"/>
      <c r="H951" s="6"/>
      <c r="I951" s="6"/>
      <c r="J951" s="6"/>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6"/>
      <c r="D952" s="49"/>
      <c r="E952" s="51"/>
      <c r="F952" s="6"/>
      <c r="G952" s="6"/>
      <c r="H952" s="6"/>
      <c r="I952" s="6"/>
      <c r="J952" s="6"/>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6"/>
      <c r="D953" s="49"/>
      <c r="E953" s="51"/>
      <c r="F953" s="6"/>
      <c r="G953" s="6"/>
      <c r="H953" s="6"/>
      <c r="I953" s="6"/>
      <c r="J953" s="6"/>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6"/>
      <c r="D954" s="49"/>
      <c r="E954" s="51"/>
      <c r="F954" s="6"/>
      <c r="G954" s="6"/>
      <c r="H954" s="6"/>
      <c r="I954" s="6"/>
      <c r="J954" s="6"/>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6"/>
      <c r="D955" s="49"/>
      <c r="E955" s="51"/>
      <c r="F955" s="6"/>
      <c r="G955" s="6"/>
      <c r="H955" s="6"/>
      <c r="I955" s="6"/>
      <c r="J955" s="6"/>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6"/>
      <c r="D956" s="49"/>
      <c r="E956" s="51"/>
      <c r="F956" s="6"/>
      <c r="G956" s="6"/>
      <c r="H956" s="6"/>
      <c r="I956" s="6"/>
      <c r="J956" s="6"/>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6"/>
      <c r="D957" s="49"/>
      <c r="E957" s="51"/>
      <c r="F957" s="6"/>
      <c r="G957" s="6"/>
      <c r="H957" s="6"/>
      <c r="I957" s="6"/>
      <c r="J957" s="6"/>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6"/>
      <c r="D958" s="49"/>
      <c r="E958" s="51"/>
      <c r="F958" s="6"/>
      <c r="G958" s="6"/>
      <c r="H958" s="6"/>
      <c r="I958" s="6"/>
      <c r="J958" s="6"/>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6"/>
      <c r="D959" s="49"/>
      <c r="E959" s="51"/>
      <c r="F959" s="6"/>
      <c r="G959" s="6"/>
      <c r="H959" s="6"/>
      <c r="I959" s="6"/>
      <c r="J959" s="6"/>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6"/>
      <c r="D960" s="49"/>
      <c r="E960" s="51"/>
      <c r="F960" s="6"/>
      <c r="G960" s="6"/>
      <c r="H960" s="6"/>
      <c r="I960" s="6"/>
      <c r="J960" s="6"/>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6"/>
      <c r="D961" s="49"/>
      <c r="E961" s="51"/>
      <c r="F961" s="6"/>
      <c r="G961" s="6"/>
      <c r="H961" s="6"/>
      <c r="I961" s="6"/>
      <c r="J961" s="6"/>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6"/>
      <c r="D962" s="49"/>
      <c r="E962" s="51"/>
      <c r="F962" s="6"/>
      <c r="G962" s="6"/>
      <c r="H962" s="6"/>
      <c r="I962" s="6"/>
      <c r="J962" s="6"/>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6"/>
      <c r="D963" s="49"/>
      <c r="E963" s="51"/>
      <c r="F963" s="6"/>
      <c r="G963" s="6"/>
      <c r="H963" s="6"/>
      <c r="I963" s="6"/>
      <c r="J963" s="6"/>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6"/>
      <c r="D964" s="49"/>
      <c r="E964" s="51"/>
      <c r="F964" s="6"/>
      <c r="G964" s="6"/>
      <c r="H964" s="6"/>
      <c r="I964" s="6"/>
      <c r="J964" s="6"/>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6"/>
      <c r="D965" s="49"/>
      <c r="E965" s="51"/>
      <c r="F965" s="6"/>
      <c r="G965" s="6"/>
      <c r="H965" s="6"/>
      <c r="I965" s="6"/>
      <c r="J965" s="6"/>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6"/>
      <c r="D966" s="49"/>
      <c r="E966" s="51"/>
      <c r="F966" s="6"/>
      <c r="G966" s="6"/>
      <c r="H966" s="6"/>
      <c r="I966" s="6"/>
      <c r="J966" s="6"/>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6"/>
      <c r="D967" s="49"/>
      <c r="E967" s="51"/>
      <c r="F967" s="6"/>
      <c r="G967" s="6"/>
      <c r="H967" s="6"/>
      <c r="I967" s="6"/>
      <c r="J967" s="6"/>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6"/>
      <c r="D968" s="49"/>
      <c r="E968" s="51"/>
      <c r="F968" s="6"/>
      <c r="G968" s="6"/>
      <c r="H968" s="6"/>
      <c r="I968" s="6"/>
      <c r="J968" s="6"/>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6"/>
      <c r="D969" s="49"/>
      <c r="E969" s="51"/>
      <c r="F969" s="6"/>
      <c r="G969" s="6"/>
      <c r="H969" s="6"/>
      <c r="I969" s="6"/>
      <c r="J969" s="6"/>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6"/>
      <c r="D970" s="49"/>
      <c r="E970" s="51"/>
      <c r="F970" s="6"/>
      <c r="G970" s="6"/>
      <c r="H970" s="6"/>
      <c r="I970" s="6"/>
      <c r="J970" s="6"/>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6"/>
      <c r="D971" s="49"/>
      <c r="E971" s="51"/>
      <c r="F971" s="6"/>
      <c r="G971" s="6"/>
      <c r="H971" s="6"/>
      <c r="I971" s="6"/>
      <c r="J971" s="6"/>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6"/>
      <c r="D972" s="49"/>
      <c r="E972" s="51"/>
      <c r="F972" s="6"/>
      <c r="G972" s="6"/>
      <c r="H972" s="6"/>
      <c r="I972" s="6"/>
      <c r="J972" s="6"/>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6"/>
      <c r="D973" s="49"/>
      <c r="E973" s="51"/>
      <c r="F973" s="6"/>
      <c r="G973" s="6"/>
      <c r="H973" s="6"/>
      <c r="I973" s="6"/>
      <c r="J973" s="6"/>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6"/>
      <c r="D974" s="49"/>
      <c r="E974" s="51"/>
      <c r="F974" s="6"/>
      <c r="G974" s="6"/>
      <c r="H974" s="6"/>
      <c r="I974" s="6"/>
      <c r="J974" s="6"/>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6"/>
      <c r="D975" s="49"/>
      <c r="E975" s="51"/>
      <c r="F975" s="6"/>
      <c r="G975" s="6"/>
      <c r="H975" s="6"/>
      <c r="I975" s="6"/>
      <c r="J975" s="6"/>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6"/>
      <c r="D976" s="49"/>
      <c r="E976" s="51"/>
      <c r="F976" s="6"/>
      <c r="G976" s="6"/>
      <c r="H976" s="6"/>
      <c r="I976" s="6"/>
      <c r="J976" s="6"/>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6"/>
      <c r="D977" s="49"/>
      <c r="E977" s="51"/>
      <c r="F977" s="6"/>
      <c r="G977" s="6"/>
      <c r="H977" s="6"/>
      <c r="I977" s="6"/>
      <c r="J977" s="6"/>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6"/>
      <c r="D978" s="49"/>
      <c r="E978" s="51"/>
      <c r="F978" s="6"/>
      <c r="G978" s="6"/>
      <c r="H978" s="6"/>
      <c r="I978" s="6"/>
      <c r="J978" s="6"/>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6"/>
      <c r="D979" s="49"/>
      <c r="E979" s="51"/>
      <c r="F979" s="6"/>
      <c r="G979" s="6"/>
      <c r="H979" s="6"/>
      <c r="I979" s="6"/>
      <c r="J979" s="6"/>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6"/>
      <c r="D980" s="49"/>
      <c r="E980" s="51"/>
      <c r="F980" s="6"/>
      <c r="G980" s="6"/>
      <c r="H980" s="6"/>
      <c r="I980" s="6"/>
      <c r="J980" s="6"/>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6"/>
      <c r="D981" s="49"/>
      <c r="E981" s="51"/>
      <c r="F981" s="6"/>
      <c r="G981" s="6"/>
      <c r="H981" s="6"/>
      <c r="I981" s="6"/>
      <c r="J981" s="6"/>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6"/>
      <c r="D982" s="49"/>
      <c r="E982" s="51"/>
      <c r="F982" s="6"/>
      <c r="G982" s="6"/>
      <c r="H982" s="6"/>
      <c r="I982" s="6"/>
      <c r="J982" s="6"/>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6"/>
      <c r="D983" s="49"/>
      <c r="E983" s="51"/>
      <c r="F983" s="6"/>
      <c r="G983" s="6"/>
      <c r="H983" s="6"/>
      <c r="I983" s="6"/>
      <c r="J983" s="6"/>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6"/>
      <c r="D984" s="49"/>
      <c r="E984" s="51"/>
      <c r="F984" s="6"/>
      <c r="G984" s="6"/>
      <c r="H984" s="6"/>
      <c r="I984" s="6"/>
      <c r="J984" s="6"/>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6"/>
      <c r="D985" s="49"/>
      <c r="E985" s="51"/>
      <c r="F985" s="6"/>
      <c r="G985" s="6"/>
      <c r="H985" s="6"/>
      <c r="I985" s="6"/>
      <c r="J985" s="6"/>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6"/>
      <c r="D986" s="49"/>
      <c r="E986" s="51"/>
      <c r="F986" s="6"/>
      <c r="G986" s="6"/>
      <c r="H986" s="6"/>
      <c r="I986" s="6"/>
      <c r="J986" s="6"/>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6"/>
      <c r="D987" s="49"/>
      <c r="E987" s="51"/>
      <c r="F987" s="6"/>
      <c r="G987" s="6"/>
      <c r="H987" s="6"/>
      <c r="I987" s="6"/>
      <c r="J987" s="6"/>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6"/>
      <c r="D988" s="49"/>
      <c r="E988" s="51"/>
      <c r="F988" s="6"/>
      <c r="G988" s="6"/>
      <c r="H988" s="6"/>
      <c r="I988" s="6"/>
      <c r="J988" s="6"/>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6"/>
      <c r="D989" s="49"/>
      <c r="E989" s="51"/>
      <c r="F989" s="6"/>
      <c r="G989" s="6"/>
      <c r="H989" s="6"/>
      <c r="I989" s="6"/>
      <c r="J989" s="6"/>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6"/>
      <c r="D990" s="49"/>
      <c r="E990" s="51"/>
      <c r="F990" s="6"/>
      <c r="G990" s="6"/>
      <c r="H990" s="6"/>
      <c r="I990" s="6"/>
      <c r="J990" s="6"/>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6"/>
      <c r="D991" s="49"/>
      <c r="E991" s="51"/>
      <c r="F991" s="6"/>
      <c r="G991" s="6"/>
      <c r="H991" s="6"/>
      <c r="I991" s="6"/>
      <c r="J991" s="6"/>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6"/>
      <c r="D992" s="49"/>
      <c r="E992" s="51"/>
      <c r="F992" s="6"/>
      <c r="G992" s="6"/>
      <c r="H992" s="6"/>
      <c r="I992" s="6"/>
      <c r="J992" s="6"/>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6"/>
      <c r="D993" s="49"/>
      <c r="E993" s="51"/>
      <c r="F993" s="6"/>
      <c r="G993" s="6"/>
      <c r="H993" s="6"/>
      <c r="I993" s="6"/>
      <c r="J993" s="6"/>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6"/>
      <c r="D994" s="49"/>
      <c r="E994" s="51"/>
      <c r="F994" s="6"/>
      <c r="G994" s="6"/>
      <c r="H994" s="6"/>
      <c r="I994" s="6"/>
      <c r="J994" s="6"/>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6"/>
      <c r="D995" s="49"/>
      <c r="E995" s="51"/>
      <c r="F995" s="6"/>
      <c r="G995" s="6"/>
      <c r="H995" s="6"/>
      <c r="I995" s="6"/>
      <c r="J995" s="6"/>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6"/>
      <c r="D996" s="49"/>
      <c r="E996" s="51"/>
      <c r="F996" s="6"/>
      <c r="G996" s="6"/>
      <c r="H996" s="6"/>
      <c r="I996" s="6"/>
      <c r="J996" s="6"/>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6"/>
      <c r="D997" s="49"/>
      <c r="E997" s="51"/>
      <c r="F997" s="6"/>
      <c r="G997" s="6"/>
      <c r="H997" s="6"/>
      <c r="I997" s="6"/>
      <c r="J997" s="6"/>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6"/>
      <c r="D998" s="49"/>
      <c r="E998" s="51"/>
      <c r="F998" s="6"/>
      <c r="G998" s="6"/>
      <c r="H998" s="6"/>
      <c r="I998" s="6"/>
      <c r="J998" s="6"/>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6"/>
      <c r="D999" s="49"/>
      <c r="E999" s="51"/>
      <c r="F999" s="6"/>
      <c r="G999" s="6"/>
      <c r="H999" s="6"/>
      <c r="I999" s="6"/>
      <c r="J999" s="6"/>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6"/>
      <c r="D1000" s="49"/>
      <c r="E1000" s="51"/>
      <c r="F1000" s="6"/>
      <c r="G1000" s="6"/>
      <c r="H1000" s="6"/>
      <c r="I1000" s="6"/>
      <c r="J1000" s="6"/>
      <c r="K1000" s="51"/>
      <c r="L1000" s="51"/>
      <c r="M1000" s="51"/>
      <c r="N1000" s="51"/>
      <c r="O1000" s="51"/>
      <c r="P1000" s="51"/>
      <c r="Q1000" s="51"/>
      <c r="R1000" s="51"/>
      <c r="S1000" s="51"/>
      <c r="T1000" s="51"/>
      <c r="U1000" s="51"/>
      <c r="V1000" s="51"/>
      <c r="W1000" s="51"/>
      <c r="X1000" s="51"/>
      <c r="Y1000" s="51"/>
      <c r="Z1000" s="51"/>
      <c r="AA1000" s="51"/>
      <c r="AB1000" s="51"/>
    </row>
    <row r="1001" customFormat="false" ht="15.75" hidden="false" customHeight="false" outlineLevel="0" collapsed="false">
      <c r="A1001" s="51"/>
      <c r="B1001" s="51"/>
      <c r="C1001" s="6"/>
      <c r="D1001" s="49"/>
      <c r="E1001" s="51"/>
      <c r="F1001" s="6"/>
      <c r="G1001" s="6"/>
      <c r="H1001" s="6"/>
      <c r="I1001" s="6"/>
      <c r="J1001" s="6"/>
      <c r="K1001" s="51"/>
      <c r="L1001" s="51"/>
      <c r="M1001" s="51"/>
      <c r="N1001" s="51"/>
      <c r="O1001" s="51"/>
      <c r="P1001" s="51"/>
      <c r="Q1001" s="51"/>
      <c r="R1001" s="51"/>
      <c r="S1001" s="51"/>
      <c r="T1001" s="51"/>
      <c r="U1001" s="51"/>
      <c r="V1001" s="51"/>
      <c r="W1001" s="51"/>
      <c r="X1001" s="51"/>
      <c r="Y1001" s="51"/>
      <c r="Z1001" s="51"/>
      <c r="AA1001" s="51"/>
      <c r="AB1001" s="51"/>
    </row>
    <row r="1002" customFormat="false" ht="15.75" hidden="false" customHeight="false" outlineLevel="0" collapsed="false">
      <c r="A1002" s="51"/>
      <c r="B1002" s="51"/>
      <c r="C1002" s="6"/>
      <c r="D1002" s="49"/>
      <c r="E1002" s="51"/>
      <c r="F1002" s="6"/>
      <c r="G1002" s="6"/>
      <c r="H1002" s="6"/>
      <c r="I1002" s="6"/>
      <c r="J1002" s="6"/>
      <c r="K1002" s="51"/>
      <c r="L1002" s="51"/>
      <c r="M1002" s="51"/>
      <c r="N1002" s="51"/>
      <c r="O1002" s="51"/>
      <c r="P1002" s="51"/>
      <c r="Q1002" s="51"/>
      <c r="R1002" s="51"/>
      <c r="S1002" s="51"/>
      <c r="T1002" s="51"/>
      <c r="U1002" s="51"/>
      <c r="V1002" s="51"/>
      <c r="W1002" s="51"/>
      <c r="X1002" s="51"/>
      <c r="Y1002" s="51"/>
      <c r="Z1002" s="51"/>
      <c r="AA1002" s="51"/>
      <c r="AB1002" s="51"/>
    </row>
  </sheetData>
  <mergeCells count="66">
    <mergeCell ref="A2:A5"/>
    <mergeCell ref="B2:B5"/>
    <mergeCell ref="A7:A10"/>
    <mergeCell ref="B7:B10"/>
    <mergeCell ref="A12:A13"/>
    <mergeCell ref="B12:B15"/>
    <mergeCell ref="A17:A20"/>
    <mergeCell ref="B17:B20"/>
    <mergeCell ref="A22:A25"/>
    <mergeCell ref="B22:B25"/>
    <mergeCell ref="A27:A30"/>
    <mergeCell ref="B27:B30"/>
    <mergeCell ref="A32:A35"/>
    <mergeCell ref="B32:B33"/>
    <mergeCell ref="A37:A40"/>
    <mergeCell ref="B37:B40"/>
    <mergeCell ref="A42:A45"/>
    <mergeCell ref="B42:B45"/>
    <mergeCell ref="A47:A50"/>
    <mergeCell ref="B47:B50"/>
    <mergeCell ref="A52:A55"/>
    <mergeCell ref="B52:B55"/>
    <mergeCell ref="A57:A60"/>
    <mergeCell ref="B57:B60"/>
    <mergeCell ref="A62:A65"/>
    <mergeCell ref="B62:B65"/>
    <mergeCell ref="A67:A70"/>
    <mergeCell ref="B67:B70"/>
    <mergeCell ref="A72:A75"/>
    <mergeCell ref="B72:B75"/>
    <mergeCell ref="A77:A80"/>
    <mergeCell ref="B77:B80"/>
    <mergeCell ref="A82:A85"/>
    <mergeCell ref="B82:B85"/>
    <mergeCell ref="A87:A90"/>
    <mergeCell ref="B87:B90"/>
    <mergeCell ref="A92:A95"/>
    <mergeCell ref="B92:B95"/>
    <mergeCell ref="A97:A100"/>
    <mergeCell ref="B97:B100"/>
    <mergeCell ref="A102:A105"/>
    <mergeCell ref="B102:B105"/>
    <mergeCell ref="A107:A110"/>
    <mergeCell ref="B107:B110"/>
    <mergeCell ref="A112:A115"/>
    <mergeCell ref="B112:B115"/>
    <mergeCell ref="A117:A120"/>
    <mergeCell ref="B117:B120"/>
    <mergeCell ref="A122:A125"/>
    <mergeCell ref="B122:B125"/>
    <mergeCell ref="A127:A130"/>
    <mergeCell ref="B127:B130"/>
    <mergeCell ref="A132:A135"/>
    <mergeCell ref="B132:B135"/>
    <mergeCell ref="A137:A140"/>
    <mergeCell ref="B137:B140"/>
    <mergeCell ref="A142:A145"/>
    <mergeCell ref="B142:B145"/>
    <mergeCell ref="A147:A150"/>
    <mergeCell ref="B147:B150"/>
    <mergeCell ref="A152:A155"/>
    <mergeCell ref="B152:B155"/>
    <mergeCell ref="A157:A160"/>
    <mergeCell ref="B157:B160"/>
    <mergeCell ref="A162:A165"/>
    <mergeCell ref="B162:B165"/>
  </mergeCells>
  <conditionalFormatting sqref="E12:E15 E17:E20 E22:E25 E27:E50 E52:E165">
    <cfRule type="colorScale" priority="2">
      <colorScale>
        <cfvo type="formula" val="0"/>
        <cfvo type="formula" val="1"/>
        <color rgb="FFFFFFFF"/>
        <color rgb="FFE67C73"/>
      </colorScale>
    </cfRule>
  </conditionalFormatting>
  <conditionalFormatting sqref="E2:E1002">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2" type="list">
      <formula1>"1,2,3,4,5"</formula1>
      <formula2>0</formula2>
    </dataValidation>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type="list">
      <formula1>"5W1H,Base,CoT,tldr"</formula1>
      <formula2>0</formula2>
    </dataValidation>
  </dataValidations>
  <hyperlinks>
    <hyperlink ref="A2" r:id="rId2" display="https://www.berria.eus/kirola/hau-badakit-egunen-batean-aterako-da-barruan-dudan-jokoa_2123931_102.html"/>
    <hyperlink ref="A7" r:id="rId3" display="https://www.berria.eus/ekonomia/kutxabankek-2116-euro-bideratu-zituen-karbono-gutxiko-proiektuak-finantzatzera_2120192_102.html"/>
    <hyperlink ref="A12" r:id="rId4" display="https://www.berria.eus/bizigiro/tradizioa-eta-abangoardia_2126379_102.html"/>
    <hyperlink ref="A17" r:id="rId5" display="https://www.berria.eus/mundua/nbek-43-mila-milioi-euro-eskatu-ditu-datorren-urtean-laguntza-humanitarioa-bermatzeko_2117704_102.html"/>
    <hyperlink ref="A22" r:id="rId6" display="https://www.berria.eus/kultura/umeak-amari-eman-dio-bidea_2124508_102.html"/>
    <hyperlink ref="A27" r:id="rId7" display="https://www.berria.eus/euskal-herria/pintaketa-faxistak-egin-dituzte-irunean_2124262_102.html"/>
    <hyperlink ref="A32" r:id="rId8" display="https://www.berria.eus/ekonomia/eolikoen-arlorako-laguntzetan-orain-halako-bi-jarriko-du-ebk-1400-milioi_1343992_102.html"/>
    <hyperlink ref="A37" r:id="rId9" display="https://www.berria.eus/kultura/itsasun-egingo-dute-irailekoak-poesia-jaialdia-aurten_2125293_102.html"/>
    <hyperlink ref="A42" r:id="rId10" display="https://www.berria.eus/kultura/nolabaiteko-kontrarreforma-bat-gertatzen-ari-da-eta-horren-aurrean-elkartu-beharra-daukagu_2124481_102.html"/>
    <hyperlink ref="A47" r:id="rId11" display="https://www.berria.eus/euskal-herria/ortuzarrek-dio-eajk-euskadiko-estatus-berriari-bultzada-eman-nahi-diola_2124257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2:A101 A1"/>
    </sheetView>
  </sheetViews>
  <sheetFormatPr defaultColWidth="12.6328125" defaultRowHeight="15.75" zeroHeight="false" outlineLevelRow="0" outlineLevelCol="0"/>
  <sheetData>
    <row r="1" customFormat="false" ht="15.75" hidden="false" customHeight="false" outlineLevel="0" collapsed="false">
      <c r="A1" s="117" t="s">
        <v>271</v>
      </c>
      <c r="B1" s="118"/>
      <c r="C1" s="118"/>
      <c r="D1" s="118"/>
      <c r="E1" s="118"/>
      <c r="F1" s="118"/>
      <c r="G1" s="118"/>
      <c r="H1" s="118"/>
      <c r="I1" s="118"/>
      <c r="J1" s="118"/>
      <c r="K1" s="118"/>
      <c r="L1" s="118"/>
      <c r="M1" s="118"/>
      <c r="N1" s="118"/>
      <c r="O1" s="118"/>
      <c r="P1" s="118"/>
      <c r="Q1" s="118"/>
      <c r="R1" s="118"/>
      <c r="S1" s="118"/>
      <c r="T1" s="118"/>
      <c r="U1" s="118"/>
      <c r="V1" s="118"/>
      <c r="W1" s="118"/>
      <c r="X1" s="118"/>
      <c r="Y1" s="118"/>
      <c r="Z1" s="118"/>
    </row>
    <row r="2" customFormat="false" ht="15.75" hidden="false" customHeight="false" outlineLevel="0" collapsed="false">
      <c r="A2" s="3" t="s">
        <v>18</v>
      </c>
      <c r="B2" s="9" t="s">
        <v>272</v>
      </c>
      <c r="C2" s="9"/>
      <c r="D2" s="9"/>
      <c r="E2" s="9"/>
      <c r="F2" s="9"/>
      <c r="G2" s="9"/>
      <c r="H2" s="9"/>
      <c r="I2" s="9"/>
      <c r="J2" s="9"/>
      <c r="K2" s="9"/>
      <c r="L2" s="9"/>
      <c r="M2" s="9"/>
      <c r="N2" s="9"/>
      <c r="O2" s="9"/>
      <c r="P2" s="9"/>
      <c r="Q2" s="9"/>
      <c r="R2" s="9"/>
      <c r="S2" s="9"/>
      <c r="T2" s="9"/>
      <c r="U2" s="9"/>
      <c r="V2" s="9"/>
      <c r="W2" s="9"/>
      <c r="X2" s="9"/>
      <c r="Y2" s="9"/>
      <c r="Z2" s="9"/>
    </row>
    <row r="3" customFormat="false" ht="15.75" hidden="false" customHeight="false" outlineLevel="0" collapsed="false">
      <c r="A3" s="3" t="s">
        <v>19</v>
      </c>
      <c r="B3" s="9" t="s">
        <v>273</v>
      </c>
      <c r="C3" s="9"/>
      <c r="D3" s="9"/>
      <c r="E3" s="9"/>
      <c r="F3" s="9"/>
      <c r="G3" s="9"/>
      <c r="H3" s="9"/>
      <c r="I3" s="9"/>
      <c r="J3" s="9"/>
      <c r="K3" s="9"/>
      <c r="L3" s="9"/>
      <c r="M3" s="9"/>
      <c r="N3" s="9"/>
      <c r="O3" s="9"/>
      <c r="P3" s="9"/>
      <c r="Q3" s="9"/>
      <c r="R3" s="9"/>
      <c r="S3" s="9"/>
      <c r="T3" s="9"/>
      <c r="U3" s="9"/>
      <c r="V3" s="9"/>
      <c r="W3" s="9"/>
      <c r="X3" s="9"/>
      <c r="Y3" s="9"/>
      <c r="Z3" s="9"/>
    </row>
    <row r="4" customFormat="false" ht="15.75" hidden="false" customHeight="false" outlineLevel="0" collapsed="false">
      <c r="A4" s="3" t="s">
        <v>8</v>
      </c>
      <c r="B4" s="9" t="s">
        <v>274</v>
      </c>
      <c r="C4" s="9"/>
      <c r="D4" s="9"/>
      <c r="E4" s="9"/>
      <c r="F4" s="9"/>
      <c r="G4" s="9"/>
      <c r="H4" s="9"/>
      <c r="I4" s="9"/>
      <c r="J4" s="9"/>
      <c r="K4" s="9"/>
      <c r="L4" s="9"/>
      <c r="M4" s="9"/>
      <c r="N4" s="9"/>
      <c r="O4" s="9"/>
      <c r="P4" s="9"/>
      <c r="Q4" s="9"/>
      <c r="R4" s="9"/>
      <c r="S4" s="9"/>
      <c r="T4" s="9"/>
      <c r="U4" s="9"/>
      <c r="V4" s="9"/>
      <c r="W4" s="9"/>
      <c r="X4" s="9"/>
      <c r="Y4" s="9"/>
      <c r="Z4" s="9"/>
    </row>
    <row r="5" customFormat="false" ht="15.75" hidden="false" customHeight="false" outlineLevel="0" collapsed="false">
      <c r="A5" s="3" t="s">
        <v>20</v>
      </c>
      <c r="B5" s="9" t="s">
        <v>275</v>
      </c>
      <c r="C5" s="9"/>
      <c r="D5" s="9"/>
      <c r="E5" s="9"/>
      <c r="F5" s="9"/>
      <c r="G5" s="9"/>
      <c r="H5" s="9"/>
      <c r="I5" s="9"/>
      <c r="J5" s="9"/>
      <c r="K5" s="9"/>
      <c r="L5" s="9"/>
      <c r="M5" s="9"/>
      <c r="N5" s="9"/>
      <c r="O5" s="9"/>
      <c r="P5" s="9"/>
      <c r="Q5" s="9"/>
      <c r="R5" s="9"/>
      <c r="S5" s="9"/>
      <c r="T5" s="9"/>
      <c r="U5" s="9"/>
      <c r="V5" s="9"/>
      <c r="W5" s="9"/>
      <c r="X5" s="9"/>
      <c r="Y5" s="9"/>
      <c r="Z5" s="9"/>
    </row>
    <row r="6" customFormat="false" ht="15.75" hidden="false" customHeight="false" outlineLevel="0" collapsed="false">
      <c r="A6" s="117" t="s">
        <v>276</v>
      </c>
      <c r="B6" s="118"/>
      <c r="C6" s="118"/>
      <c r="D6" s="118"/>
      <c r="E6" s="118"/>
      <c r="F6" s="118"/>
      <c r="G6" s="118"/>
      <c r="H6" s="118"/>
      <c r="I6" s="118"/>
      <c r="J6" s="118"/>
      <c r="K6" s="118"/>
      <c r="L6" s="118"/>
      <c r="M6" s="118"/>
      <c r="N6" s="118"/>
      <c r="O6" s="118"/>
      <c r="P6" s="118"/>
      <c r="Q6" s="118"/>
      <c r="R6" s="118"/>
      <c r="S6" s="118"/>
      <c r="T6" s="118"/>
      <c r="U6" s="118"/>
      <c r="V6" s="118"/>
      <c r="W6" s="118"/>
      <c r="X6" s="118"/>
      <c r="Y6" s="118"/>
      <c r="Z6" s="118"/>
    </row>
    <row r="7" customFormat="false" ht="15.75" hidden="false" customHeight="false" outlineLevel="0" collapsed="false">
      <c r="A7" s="3" t="s">
        <v>16</v>
      </c>
      <c r="B7" s="9" t="s">
        <v>277</v>
      </c>
      <c r="C7" s="9"/>
      <c r="D7" s="9"/>
      <c r="E7" s="9"/>
      <c r="F7" s="9"/>
      <c r="G7" s="9"/>
      <c r="H7" s="9"/>
      <c r="I7" s="9"/>
      <c r="J7" s="9"/>
      <c r="K7" s="9"/>
      <c r="L7" s="9"/>
      <c r="M7" s="9"/>
      <c r="N7" s="9"/>
      <c r="O7" s="9"/>
      <c r="P7" s="9"/>
      <c r="Q7" s="9"/>
      <c r="R7" s="9"/>
      <c r="S7" s="9"/>
      <c r="T7" s="9"/>
      <c r="U7" s="9"/>
      <c r="V7" s="9"/>
      <c r="W7" s="9"/>
      <c r="X7" s="9"/>
      <c r="Y7" s="9"/>
      <c r="Z7" s="9"/>
    </row>
    <row r="8" customFormat="false" ht="15.75" hidden="false" customHeight="false" outlineLevel="0" collapsed="false">
      <c r="A8" s="3" t="s">
        <v>33</v>
      </c>
      <c r="B8" s="9" t="s">
        <v>278</v>
      </c>
      <c r="C8" s="9"/>
      <c r="D8" s="9"/>
      <c r="E8" s="9"/>
      <c r="F8" s="9"/>
      <c r="G8" s="9"/>
      <c r="H8" s="9"/>
      <c r="I8" s="9"/>
      <c r="J8" s="9"/>
      <c r="K8" s="9"/>
      <c r="L8" s="9"/>
      <c r="M8" s="9"/>
      <c r="N8" s="9"/>
      <c r="O8" s="9"/>
      <c r="P8" s="9"/>
      <c r="Q8" s="9"/>
      <c r="R8" s="9"/>
      <c r="S8" s="9"/>
      <c r="T8" s="9"/>
      <c r="U8" s="9"/>
      <c r="V8" s="9"/>
      <c r="W8" s="9"/>
      <c r="X8" s="9"/>
      <c r="Y8" s="9"/>
      <c r="Z8" s="9"/>
    </row>
    <row r="9" customFormat="false" ht="15.75" hidden="false" customHeight="false" outlineLevel="0" collapsed="false">
      <c r="A9" s="3" t="s">
        <v>279</v>
      </c>
      <c r="B9" s="9" t="s">
        <v>280</v>
      </c>
      <c r="C9" s="9"/>
      <c r="D9" s="9"/>
      <c r="E9" s="9"/>
      <c r="F9" s="9"/>
      <c r="G9" s="9"/>
      <c r="H9" s="9"/>
      <c r="I9" s="9"/>
      <c r="J9" s="9"/>
      <c r="K9" s="9"/>
      <c r="L9" s="9"/>
      <c r="M9" s="9"/>
      <c r="N9" s="9"/>
      <c r="O9" s="9"/>
      <c r="P9" s="9"/>
      <c r="Q9" s="9"/>
      <c r="R9" s="9"/>
      <c r="S9" s="9"/>
      <c r="T9" s="9"/>
      <c r="U9" s="9"/>
      <c r="V9" s="9"/>
      <c r="W9" s="9"/>
      <c r="X9" s="9"/>
      <c r="Y9" s="9"/>
      <c r="Z9" s="9"/>
    </row>
    <row r="10" customFormat="false" ht="15.75" hidden="false" customHeight="false" outlineLevel="0" collapsed="false">
      <c r="A10" s="3" t="s">
        <v>281</v>
      </c>
      <c r="B10" s="9" t="s">
        <v>282</v>
      </c>
      <c r="C10" s="9"/>
      <c r="D10" s="9"/>
      <c r="E10" s="9"/>
      <c r="F10" s="9"/>
      <c r="G10" s="9"/>
      <c r="H10" s="9"/>
      <c r="I10" s="9"/>
      <c r="J10" s="9"/>
      <c r="K10" s="9"/>
      <c r="L10" s="9"/>
      <c r="M10" s="9"/>
      <c r="N10" s="9"/>
      <c r="O10" s="9"/>
      <c r="P10" s="9"/>
      <c r="Q10" s="9"/>
      <c r="R10" s="9"/>
      <c r="S10" s="9"/>
      <c r="T10" s="9"/>
      <c r="U10" s="9"/>
      <c r="V10" s="9"/>
      <c r="W10" s="9"/>
      <c r="X10" s="9"/>
      <c r="Y10" s="9"/>
      <c r="Z10" s="9"/>
    </row>
    <row r="11" customFormat="false" ht="15.75" hidden="false" customHeight="false" outlineLevel="0" collapsed="false">
      <c r="A11" s="3" t="s">
        <v>283</v>
      </c>
      <c r="B11" s="9" t="s">
        <v>284</v>
      </c>
      <c r="C11" s="9"/>
      <c r="D11" s="9"/>
      <c r="E11" s="9"/>
      <c r="F11" s="9"/>
      <c r="G11" s="9"/>
      <c r="H11" s="9"/>
      <c r="I11" s="9"/>
      <c r="J11" s="9"/>
      <c r="K11" s="9"/>
      <c r="L11" s="9"/>
      <c r="M11" s="9"/>
      <c r="N11" s="9"/>
      <c r="O11" s="9"/>
      <c r="P11" s="9"/>
      <c r="Q11" s="9"/>
      <c r="R11" s="9"/>
      <c r="S11" s="9"/>
      <c r="T11" s="9"/>
      <c r="U11" s="9"/>
      <c r="V11" s="9"/>
      <c r="W11" s="9"/>
      <c r="X11" s="9"/>
      <c r="Y11" s="9"/>
      <c r="Z11" s="9"/>
    </row>
    <row r="12" customFormat="false" ht="15.75" hidden="false" customHeight="false" outlineLevel="0" collapsed="false">
      <c r="A12" s="117" t="s">
        <v>285</v>
      </c>
      <c r="B12" s="118"/>
      <c r="C12" s="118"/>
      <c r="D12" s="118"/>
      <c r="E12" s="118"/>
      <c r="F12" s="118"/>
      <c r="G12" s="118"/>
      <c r="H12" s="118"/>
      <c r="I12" s="118"/>
      <c r="J12" s="118"/>
      <c r="K12" s="118"/>
      <c r="L12" s="118"/>
      <c r="M12" s="118"/>
      <c r="N12" s="118"/>
      <c r="O12" s="118"/>
      <c r="P12" s="118"/>
      <c r="Q12" s="118"/>
      <c r="R12" s="118"/>
      <c r="S12" s="118"/>
      <c r="T12" s="118"/>
      <c r="U12" s="118"/>
      <c r="V12" s="118"/>
      <c r="W12" s="118"/>
      <c r="X12" s="118"/>
      <c r="Y12" s="118"/>
      <c r="Z12" s="118"/>
    </row>
    <row r="13" customFormat="false" ht="15.75" hidden="false" customHeight="false" outlineLevel="0" collapsed="false">
      <c r="A13" s="3" t="s">
        <v>4</v>
      </c>
      <c r="B13" s="9" t="s">
        <v>286</v>
      </c>
      <c r="C13" s="9"/>
      <c r="D13" s="9"/>
      <c r="E13" s="9"/>
      <c r="F13" s="9"/>
      <c r="G13" s="9"/>
      <c r="H13" s="9"/>
      <c r="I13" s="9"/>
      <c r="J13" s="9"/>
      <c r="K13" s="9"/>
      <c r="L13" s="9"/>
      <c r="M13" s="9"/>
      <c r="N13" s="9"/>
      <c r="O13" s="9"/>
      <c r="P13" s="9"/>
      <c r="Q13" s="9"/>
      <c r="R13" s="9"/>
      <c r="S13" s="9"/>
      <c r="T13" s="9"/>
      <c r="U13" s="9"/>
      <c r="V13" s="9"/>
      <c r="W13" s="9"/>
      <c r="X13" s="9"/>
      <c r="Y13" s="9"/>
      <c r="Z13" s="9"/>
    </row>
    <row r="14" customFormat="false" ht="15.75" hidden="false" customHeight="false" outlineLevel="0" collapsed="false">
      <c r="A14" s="2" t="s">
        <v>5</v>
      </c>
      <c r="B14" s="9" t="s">
        <v>287</v>
      </c>
      <c r="C14" s="9"/>
      <c r="D14" s="9"/>
      <c r="E14" s="9"/>
      <c r="F14" s="9"/>
      <c r="G14" s="9"/>
      <c r="H14" s="9"/>
      <c r="I14" s="9"/>
      <c r="J14" s="9"/>
      <c r="K14" s="9"/>
      <c r="L14" s="9"/>
      <c r="M14" s="9"/>
      <c r="N14" s="9"/>
      <c r="O14" s="9"/>
      <c r="P14" s="9"/>
      <c r="Q14" s="9"/>
      <c r="R14" s="9"/>
      <c r="S14" s="9"/>
      <c r="T14" s="9"/>
      <c r="U14" s="9"/>
      <c r="V14" s="9"/>
      <c r="W14" s="9"/>
      <c r="X14" s="9"/>
      <c r="Y14" s="9"/>
      <c r="Z14" s="9"/>
    </row>
    <row r="15" customFormat="false" ht="15.75" hidden="false" customHeight="false" outlineLevel="0" collapsed="false">
      <c r="A15" s="2" t="s">
        <v>6</v>
      </c>
      <c r="B15" s="9" t="s">
        <v>288</v>
      </c>
      <c r="C15" s="9"/>
      <c r="D15" s="9"/>
      <c r="E15" s="9"/>
      <c r="F15" s="9"/>
      <c r="G15" s="9"/>
      <c r="H15" s="9"/>
      <c r="I15" s="9"/>
      <c r="J15" s="9"/>
      <c r="K15" s="9"/>
      <c r="L15" s="9"/>
      <c r="M15" s="9"/>
      <c r="N15" s="9"/>
      <c r="O15" s="9"/>
      <c r="P15" s="9"/>
      <c r="Q15" s="9"/>
      <c r="R15" s="9"/>
      <c r="S15" s="9"/>
      <c r="T15" s="9"/>
      <c r="U15" s="9"/>
      <c r="V15" s="9"/>
      <c r="W15" s="9"/>
      <c r="X15" s="9"/>
      <c r="Y15" s="9"/>
      <c r="Z15" s="9"/>
    </row>
    <row r="16" customFormat="false" ht="15.75" hidden="false" customHeight="false" outlineLevel="0" collapsed="false">
      <c r="A16" s="2" t="s">
        <v>7</v>
      </c>
      <c r="B16" s="9" t="s">
        <v>289</v>
      </c>
      <c r="C16" s="9"/>
      <c r="D16" s="9"/>
      <c r="E16" s="9"/>
      <c r="F16" s="9"/>
      <c r="G16" s="9"/>
      <c r="H16" s="9"/>
      <c r="I16" s="9"/>
      <c r="J16" s="9"/>
      <c r="K16" s="9"/>
      <c r="L16" s="9"/>
      <c r="M16" s="9"/>
      <c r="N16" s="9"/>
      <c r="O16" s="9"/>
      <c r="P16" s="9"/>
      <c r="Q16" s="9"/>
      <c r="R16" s="9"/>
      <c r="S16" s="9"/>
      <c r="T16" s="9"/>
      <c r="U16" s="9"/>
      <c r="V16" s="9"/>
      <c r="W16" s="9"/>
      <c r="X16" s="9"/>
      <c r="Y16" s="9"/>
      <c r="Z16" s="9"/>
    </row>
    <row r="17" customFormat="false" ht="15.75" hidden="false" customHeight="false" outlineLevel="0" collapsed="false">
      <c r="A17" s="2" t="s">
        <v>8</v>
      </c>
      <c r="B17" s="9" t="s">
        <v>290</v>
      </c>
      <c r="C17" s="9"/>
      <c r="D17" s="9"/>
      <c r="E17" s="9"/>
      <c r="F17" s="9"/>
      <c r="G17" s="9"/>
      <c r="H17" s="9"/>
      <c r="I17" s="9"/>
      <c r="J17" s="9"/>
      <c r="K17" s="9"/>
      <c r="L17" s="9"/>
      <c r="M17" s="9"/>
      <c r="N17" s="9"/>
      <c r="O17" s="9"/>
      <c r="P17" s="9"/>
      <c r="Q17" s="9"/>
      <c r="R17" s="9"/>
      <c r="S17" s="9"/>
      <c r="T17" s="9"/>
      <c r="U17" s="9"/>
      <c r="V17" s="9"/>
      <c r="W17" s="9"/>
      <c r="X17" s="9"/>
      <c r="Y17" s="9"/>
      <c r="Z17" s="9"/>
    </row>
    <row r="18" customFormat="false" ht="15.75" hidden="false" customHeight="false" outlineLevel="0" collapsed="false">
      <c r="A18" s="117" t="s">
        <v>291</v>
      </c>
      <c r="B18" s="118"/>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row>
    <row r="19" customFormat="false" ht="15.75" hidden="false" customHeight="false" outlineLevel="0" collapsed="false">
      <c r="A19" s="119" t="s">
        <v>292</v>
      </c>
      <c r="B19" s="9" t="s">
        <v>293</v>
      </c>
      <c r="C19" s="9"/>
      <c r="D19" s="9"/>
      <c r="E19" s="9"/>
      <c r="F19" s="9"/>
      <c r="G19" s="9"/>
      <c r="H19" s="9"/>
      <c r="I19" s="9"/>
      <c r="J19" s="9"/>
      <c r="K19" s="9"/>
      <c r="L19" s="9"/>
      <c r="M19" s="9"/>
      <c r="N19" s="9"/>
      <c r="O19" s="9"/>
      <c r="P19" s="9"/>
      <c r="Q19" s="9"/>
      <c r="R19" s="9"/>
      <c r="S19" s="9"/>
      <c r="T19" s="9"/>
      <c r="U19" s="9"/>
      <c r="V19" s="9"/>
      <c r="W19" s="9"/>
      <c r="X19" s="9"/>
      <c r="Y19" s="9"/>
      <c r="Z19" s="9"/>
    </row>
    <row r="20" customFormat="false" ht="15.75" hidden="false" customHeight="false" outlineLevel="0" collapsed="false">
      <c r="A20" s="120" t="s">
        <v>292</v>
      </c>
      <c r="B20" s="9" t="s">
        <v>294</v>
      </c>
      <c r="C20" s="9"/>
      <c r="D20" s="9"/>
      <c r="E20" s="9"/>
      <c r="F20" s="9"/>
      <c r="G20" s="9"/>
      <c r="H20" s="9"/>
      <c r="I20" s="9"/>
      <c r="J20" s="9"/>
      <c r="K20" s="9"/>
      <c r="L20" s="9"/>
      <c r="M20" s="9"/>
      <c r="N20" s="9"/>
      <c r="O20" s="9"/>
      <c r="P20" s="9"/>
      <c r="Q20" s="9"/>
      <c r="R20" s="9"/>
      <c r="S20" s="9"/>
      <c r="T20" s="9"/>
      <c r="U20" s="9"/>
      <c r="V20" s="9"/>
      <c r="W20" s="9"/>
      <c r="X20" s="9"/>
      <c r="Y20" s="9"/>
      <c r="Z20" s="9"/>
    </row>
    <row r="21" customFormat="false" ht="15.75" hidden="false" customHeight="false" outlineLevel="0" collapsed="false">
      <c r="A21" s="121" t="s">
        <v>292</v>
      </c>
      <c r="B21" s="9" t="s">
        <v>295</v>
      </c>
      <c r="C21" s="9"/>
      <c r="D21" s="9"/>
      <c r="E21" s="9"/>
      <c r="F21" s="9"/>
      <c r="G21" s="9"/>
      <c r="H21" s="9"/>
      <c r="I21" s="9"/>
      <c r="J21" s="9"/>
      <c r="K21" s="9"/>
      <c r="L21" s="9"/>
      <c r="M21" s="9"/>
      <c r="N21" s="9"/>
      <c r="O21" s="9"/>
      <c r="P21" s="9"/>
      <c r="Q21" s="9"/>
      <c r="R21" s="9"/>
      <c r="S21" s="9"/>
      <c r="T21" s="9"/>
      <c r="U21" s="9"/>
      <c r="V21" s="9"/>
      <c r="W21" s="9"/>
      <c r="X21" s="9"/>
      <c r="Y21" s="9"/>
      <c r="Z21" s="9"/>
    </row>
    <row r="22" customFormat="false" ht="15.75" hidden="false" customHeight="false" outlineLevel="0" collapsed="false">
      <c r="A22" s="122" t="s">
        <v>296</v>
      </c>
      <c r="B22" s="9"/>
      <c r="C22" s="9"/>
      <c r="D22" s="9"/>
      <c r="E22" s="9"/>
      <c r="F22" s="9"/>
      <c r="G22" s="9"/>
      <c r="H22" s="9"/>
      <c r="I22" s="9"/>
      <c r="J22" s="9"/>
      <c r="K22" s="9"/>
      <c r="L22" s="9"/>
      <c r="M22" s="9"/>
      <c r="N22" s="9"/>
      <c r="O22" s="9"/>
      <c r="P22" s="9"/>
      <c r="Q22" s="9"/>
      <c r="R22" s="9"/>
      <c r="S22" s="9"/>
      <c r="T22" s="9"/>
      <c r="U22" s="9"/>
      <c r="V22" s="9"/>
      <c r="W22" s="9"/>
      <c r="X22" s="9"/>
      <c r="Y22" s="9"/>
      <c r="Z22" s="9"/>
    </row>
    <row r="23" customFormat="false" ht="15.75" hidden="false" customHeight="false" outlineLevel="0" collapsed="false">
      <c r="A23" s="123" t="s">
        <v>297</v>
      </c>
      <c r="B23" s="9"/>
      <c r="C23" s="9"/>
      <c r="D23" s="9"/>
      <c r="E23" s="9"/>
      <c r="F23" s="9"/>
      <c r="G23" s="9"/>
      <c r="H23" s="9"/>
      <c r="I23" s="9"/>
      <c r="J23" s="9"/>
      <c r="K23" s="9"/>
      <c r="L23" s="9"/>
      <c r="M23" s="9"/>
      <c r="N23" s="9"/>
      <c r="O23" s="9"/>
      <c r="P23" s="9"/>
      <c r="Q23" s="9"/>
      <c r="R23" s="9"/>
      <c r="S23" s="9"/>
      <c r="T23" s="9"/>
      <c r="U23" s="9"/>
      <c r="V23" s="9"/>
      <c r="W23" s="9"/>
      <c r="X23" s="9"/>
      <c r="Y23" s="9"/>
      <c r="Z23" s="9"/>
    </row>
    <row r="24" customFormat="false" ht="15.75" hidden="false" customHeight="false" outlineLevel="0" collapsed="false">
      <c r="A24" s="124" t="s">
        <v>298</v>
      </c>
      <c r="B24" s="9"/>
      <c r="C24" s="9"/>
      <c r="D24" s="9"/>
      <c r="E24" s="9"/>
      <c r="F24" s="9"/>
      <c r="G24" s="9"/>
      <c r="H24" s="9"/>
      <c r="I24" s="9"/>
      <c r="J24" s="9"/>
      <c r="K24" s="9"/>
      <c r="L24" s="9"/>
      <c r="M24" s="9"/>
      <c r="N24" s="9"/>
      <c r="O24" s="9"/>
      <c r="P24" s="9"/>
      <c r="Q24" s="9"/>
      <c r="R24" s="9"/>
      <c r="S24" s="9"/>
      <c r="T24" s="9"/>
      <c r="U24" s="9"/>
      <c r="V24" s="9"/>
      <c r="W24" s="9"/>
      <c r="X24" s="9"/>
      <c r="Y24" s="9"/>
      <c r="Z24" s="9"/>
    </row>
    <row r="25" customFormat="false" ht="15.75" hidden="false" customHeight="false" outlineLevel="0" collapsed="false">
      <c r="A25" s="125" t="s">
        <v>299</v>
      </c>
      <c r="B25" s="9"/>
      <c r="C25" s="9"/>
      <c r="D25" s="9"/>
      <c r="E25" s="9"/>
      <c r="F25" s="9"/>
      <c r="G25" s="9"/>
      <c r="H25" s="9"/>
      <c r="I25" s="9"/>
      <c r="J25" s="9"/>
      <c r="K25" s="9"/>
      <c r="L25" s="9"/>
      <c r="M25" s="9"/>
      <c r="N25" s="9"/>
      <c r="O25" s="9"/>
      <c r="P25" s="9"/>
      <c r="Q25" s="9"/>
      <c r="R25" s="9"/>
      <c r="S25" s="9"/>
      <c r="T25" s="9"/>
      <c r="U25" s="9"/>
      <c r="V25" s="9"/>
      <c r="W25" s="9"/>
      <c r="X25" s="9"/>
      <c r="Y25" s="9"/>
      <c r="Z25" s="9"/>
    </row>
    <row r="26" customFormat="false" ht="15.75" hidden="false" customHeight="false" outlineLevel="0" collapsed="false">
      <c r="A26" s="126" t="s">
        <v>300</v>
      </c>
      <c r="B26" s="9"/>
      <c r="C26" s="9"/>
      <c r="D26" s="9"/>
      <c r="E26" s="9"/>
      <c r="F26" s="9"/>
      <c r="G26" s="9"/>
      <c r="H26" s="9"/>
      <c r="I26" s="9"/>
      <c r="J26" s="9"/>
      <c r="K26" s="9"/>
      <c r="L26" s="9"/>
      <c r="M26" s="9"/>
      <c r="N26" s="9"/>
      <c r="O26" s="9"/>
      <c r="P26" s="9"/>
      <c r="Q26" s="9"/>
      <c r="R26" s="9"/>
      <c r="S26" s="9"/>
      <c r="T26" s="9"/>
      <c r="U26" s="9"/>
      <c r="V26" s="9"/>
      <c r="W26" s="9"/>
      <c r="X26" s="9"/>
      <c r="Y26" s="9"/>
      <c r="Z26" s="9"/>
    </row>
    <row r="27" customFormat="false" ht="15.75" hidden="false" customHeight="false" outlineLevel="0" collapsed="false">
      <c r="A27" s="127" t="s">
        <v>301</v>
      </c>
      <c r="B27" s="9"/>
      <c r="C27" s="9"/>
      <c r="D27" s="9"/>
      <c r="E27" s="9"/>
      <c r="F27" s="9"/>
      <c r="G27" s="9"/>
      <c r="H27" s="9"/>
      <c r="I27" s="9"/>
      <c r="J27" s="9"/>
      <c r="K27" s="9"/>
      <c r="L27" s="9"/>
      <c r="M27" s="9"/>
      <c r="N27" s="9"/>
      <c r="O27" s="9"/>
      <c r="P27" s="9"/>
      <c r="Q27" s="9"/>
      <c r="R27" s="9"/>
      <c r="S27" s="9"/>
      <c r="T27" s="9"/>
      <c r="U27" s="9"/>
      <c r="V27" s="9"/>
      <c r="W27" s="9"/>
      <c r="X27" s="9"/>
      <c r="Y27" s="9"/>
      <c r="Z27" s="9"/>
    </row>
    <row r="28" customFormat="false" ht="15.75" hidden="false" customHeight="false" outlineLevel="0" collapsed="false">
      <c r="A28" s="9"/>
      <c r="B28" s="9"/>
      <c r="C28" s="9"/>
      <c r="D28" s="9"/>
      <c r="E28" s="9"/>
      <c r="F28" s="9"/>
      <c r="G28" s="9"/>
      <c r="H28" s="9"/>
      <c r="I28" s="9"/>
      <c r="J28" s="9"/>
      <c r="K28" s="9"/>
      <c r="L28" s="9"/>
      <c r="M28" s="9"/>
      <c r="N28" s="9"/>
      <c r="O28" s="9"/>
      <c r="P28" s="9"/>
      <c r="Q28" s="9"/>
      <c r="R28" s="9"/>
      <c r="S28" s="9"/>
      <c r="T28" s="9"/>
      <c r="U28" s="9"/>
      <c r="V28" s="9"/>
      <c r="W28" s="9"/>
      <c r="X28" s="9"/>
      <c r="Y28" s="9"/>
      <c r="Z28" s="9"/>
    </row>
    <row r="29" customFormat="false" ht="15.75" hidden="false" customHeight="false" outlineLevel="0" collapsed="false">
      <c r="A29" s="9"/>
      <c r="B29" s="9"/>
      <c r="C29" s="9"/>
      <c r="D29" s="9"/>
      <c r="E29" s="9"/>
      <c r="F29" s="9"/>
      <c r="G29" s="9"/>
      <c r="H29" s="9"/>
      <c r="I29" s="9"/>
      <c r="J29" s="9"/>
      <c r="K29" s="9"/>
      <c r="L29" s="9"/>
      <c r="M29" s="9"/>
      <c r="N29" s="9"/>
      <c r="O29" s="9"/>
      <c r="P29" s="9"/>
      <c r="Q29" s="9"/>
      <c r="R29" s="9"/>
      <c r="S29" s="9"/>
      <c r="T29" s="9"/>
      <c r="U29" s="9"/>
      <c r="V29" s="9"/>
      <c r="W29" s="9"/>
      <c r="X29" s="9"/>
      <c r="Y29" s="9"/>
      <c r="Z29" s="9"/>
    </row>
    <row r="30" customFormat="false" ht="15.75" hidden="false" customHeight="false" outlineLevel="0" collapsed="false">
      <c r="A30" s="9"/>
      <c r="B30" s="9"/>
      <c r="C30" s="9"/>
      <c r="D30" s="9"/>
      <c r="E30" s="9"/>
      <c r="F30" s="9"/>
      <c r="G30" s="9"/>
      <c r="H30" s="9"/>
      <c r="I30" s="9"/>
      <c r="J30" s="9"/>
      <c r="K30" s="9"/>
      <c r="L30" s="9"/>
      <c r="M30" s="9"/>
      <c r="N30" s="9"/>
      <c r="O30" s="9"/>
      <c r="P30" s="9"/>
      <c r="Q30" s="9"/>
      <c r="R30" s="9"/>
      <c r="S30" s="9"/>
      <c r="T30" s="9"/>
      <c r="U30" s="9"/>
      <c r="V30" s="9"/>
      <c r="W30" s="9"/>
      <c r="X30" s="9"/>
      <c r="Y30" s="9"/>
      <c r="Z30" s="9"/>
    </row>
    <row r="31" customFormat="false" ht="15.75" hidden="false" customHeight="false" outlineLevel="0" collapsed="false">
      <c r="A31" s="9"/>
      <c r="B31" s="9"/>
      <c r="C31" s="9"/>
      <c r="D31" s="9"/>
      <c r="E31" s="9"/>
      <c r="F31" s="9"/>
      <c r="G31" s="9"/>
      <c r="H31" s="9"/>
      <c r="I31" s="9"/>
      <c r="J31" s="9"/>
      <c r="K31" s="9"/>
      <c r="L31" s="9"/>
      <c r="M31" s="9"/>
      <c r="N31" s="9"/>
      <c r="O31" s="9"/>
      <c r="P31" s="9"/>
      <c r="Q31" s="9"/>
      <c r="R31" s="9"/>
      <c r="S31" s="9"/>
      <c r="T31" s="9"/>
      <c r="U31" s="9"/>
      <c r="V31" s="9"/>
      <c r="W31" s="9"/>
      <c r="X31" s="9"/>
      <c r="Y31" s="9"/>
      <c r="Z31" s="9"/>
    </row>
    <row r="32" customFormat="false" ht="15.75" hidden="false" customHeight="false" outlineLevel="0" collapsed="false">
      <c r="A32" s="9"/>
      <c r="B32" s="9"/>
      <c r="C32" s="9"/>
      <c r="D32" s="9"/>
      <c r="E32" s="9"/>
      <c r="F32" s="9"/>
      <c r="G32" s="9"/>
      <c r="H32" s="9"/>
      <c r="I32" s="9"/>
      <c r="J32" s="9"/>
      <c r="K32" s="9"/>
      <c r="L32" s="9"/>
      <c r="M32" s="9"/>
      <c r="N32" s="9"/>
      <c r="O32" s="9"/>
      <c r="P32" s="9"/>
      <c r="Q32" s="9"/>
      <c r="R32" s="9"/>
      <c r="S32" s="9"/>
      <c r="T32" s="9"/>
      <c r="U32" s="9"/>
      <c r="V32" s="9"/>
      <c r="W32" s="9"/>
      <c r="X32" s="9"/>
      <c r="Y32" s="9"/>
      <c r="Z32" s="9"/>
    </row>
    <row r="33" customFormat="false" ht="15.75" hidden="false" customHeight="false" outlineLevel="0" collapsed="false">
      <c r="A33" s="9"/>
      <c r="B33" s="9"/>
      <c r="C33" s="9"/>
      <c r="D33" s="9"/>
      <c r="E33" s="9"/>
      <c r="F33" s="9"/>
      <c r="G33" s="9"/>
      <c r="H33" s="9"/>
      <c r="I33" s="9"/>
      <c r="J33" s="9"/>
      <c r="K33" s="9"/>
      <c r="L33" s="9"/>
      <c r="M33" s="9"/>
      <c r="N33" s="9"/>
      <c r="O33" s="9"/>
      <c r="P33" s="9"/>
      <c r="Q33" s="9"/>
      <c r="R33" s="9"/>
      <c r="S33" s="9"/>
      <c r="T33" s="9"/>
      <c r="U33" s="9"/>
      <c r="V33" s="9"/>
      <c r="W33" s="9"/>
      <c r="X33" s="9"/>
      <c r="Y33" s="9"/>
      <c r="Z33" s="9"/>
    </row>
    <row r="34" customFormat="false" ht="15.75" hidden="false" customHeight="false" outlineLevel="0" collapsed="false">
      <c r="A34" s="9"/>
      <c r="B34" s="9"/>
      <c r="C34" s="9"/>
      <c r="D34" s="9"/>
      <c r="E34" s="9"/>
      <c r="F34" s="9"/>
      <c r="G34" s="9"/>
      <c r="H34" s="9"/>
      <c r="I34" s="9"/>
      <c r="J34" s="9"/>
      <c r="K34" s="9"/>
      <c r="L34" s="9"/>
      <c r="M34" s="9"/>
      <c r="N34" s="9"/>
      <c r="O34" s="9"/>
      <c r="P34" s="9"/>
      <c r="Q34" s="9"/>
      <c r="R34" s="9"/>
      <c r="S34" s="9"/>
      <c r="T34" s="9"/>
      <c r="U34" s="9"/>
      <c r="V34" s="9"/>
      <c r="W34" s="9"/>
      <c r="X34" s="9"/>
      <c r="Y34" s="9"/>
      <c r="Z34" s="9"/>
    </row>
    <row r="35" customFormat="false" ht="15.75" hidden="false" customHeight="false" outlineLevel="0" collapsed="false">
      <c r="A35" s="9"/>
      <c r="B35" s="9"/>
      <c r="C35" s="9"/>
      <c r="D35" s="9"/>
      <c r="E35" s="9"/>
      <c r="F35" s="9"/>
      <c r="G35" s="9"/>
      <c r="H35" s="9"/>
      <c r="I35" s="9"/>
      <c r="J35" s="9"/>
      <c r="K35" s="9"/>
      <c r="L35" s="9"/>
      <c r="M35" s="9"/>
      <c r="N35" s="9"/>
      <c r="O35" s="9"/>
      <c r="P35" s="9"/>
      <c r="Q35" s="9"/>
      <c r="R35" s="9"/>
      <c r="S35" s="9"/>
      <c r="T35" s="9"/>
      <c r="U35" s="9"/>
      <c r="V35" s="9"/>
      <c r="W35" s="9"/>
      <c r="X35" s="9"/>
      <c r="Y35" s="9"/>
      <c r="Z35" s="9"/>
    </row>
    <row r="36" customFormat="false" ht="15.75" hidden="false" customHeight="false" outlineLevel="0" collapsed="false">
      <c r="A36" s="9"/>
      <c r="B36" s="9"/>
      <c r="C36" s="9"/>
      <c r="D36" s="9"/>
      <c r="E36" s="9"/>
      <c r="F36" s="9"/>
      <c r="G36" s="9"/>
      <c r="H36" s="9"/>
      <c r="I36" s="9"/>
      <c r="J36" s="9"/>
      <c r="K36" s="9"/>
      <c r="L36" s="9"/>
      <c r="M36" s="9"/>
      <c r="N36" s="9"/>
      <c r="O36" s="9"/>
      <c r="P36" s="9"/>
      <c r="Q36" s="9"/>
      <c r="R36" s="9"/>
      <c r="S36" s="9"/>
      <c r="T36" s="9"/>
      <c r="U36" s="9"/>
      <c r="V36" s="9"/>
      <c r="W36" s="9"/>
      <c r="X36" s="9"/>
      <c r="Y36" s="9"/>
      <c r="Z36" s="9"/>
    </row>
    <row r="37" customFormat="false" ht="15.75" hidden="false" customHeight="false" outlineLevel="0" collapsed="false">
      <c r="A37" s="9"/>
      <c r="B37" s="9"/>
      <c r="C37" s="9"/>
      <c r="D37" s="9"/>
      <c r="E37" s="9"/>
      <c r="F37" s="9"/>
      <c r="G37" s="9"/>
      <c r="H37" s="9"/>
      <c r="I37" s="9"/>
      <c r="J37" s="9"/>
      <c r="K37" s="9"/>
      <c r="L37" s="9"/>
      <c r="M37" s="9"/>
      <c r="N37" s="9"/>
      <c r="O37" s="9"/>
      <c r="P37" s="9"/>
      <c r="Q37" s="9"/>
      <c r="R37" s="9"/>
      <c r="S37" s="9"/>
      <c r="T37" s="9"/>
      <c r="U37" s="9"/>
      <c r="V37" s="9"/>
      <c r="W37" s="9"/>
      <c r="X37" s="9"/>
      <c r="Y37" s="9"/>
      <c r="Z37" s="9"/>
    </row>
    <row r="38" customFormat="false" ht="15.75" hidden="false" customHeight="false" outlineLevel="0" collapsed="false">
      <c r="A38" s="9"/>
      <c r="B38" s="9"/>
      <c r="C38" s="9"/>
      <c r="D38" s="9"/>
      <c r="E38" s="9"/>
      <c r="F38" s="9"/>
      <c r="G38" s="9"/>
      <c r="H38" s="9"/>
      <c r="I38" s="9"/>
      <c r="J38" s="9"/>
      <c r="K38" s="9"/>
      <c r="L38" s="9"/>
      <c r="M38" s="9"/>
      <c r="N38" s="9"/>
      <c r="O38" s="9"/>
      <c r="P38" s="9"/>
      <c r="Q38" s="9"/>
      <c r="R38" s="9"/>
      <c r="S38" s="9"/>
      <c r="T38" s="9"/>
      <c r="U38" s="9"/>
      <c r="V38" s="9"/>
      <c r="W38" s="9"/>
      <c r="X38" s="9"/>
      <c r="Y38" s="9"/>
      <c r="Z38" s="9"/>
    </row>
    <row r="39" customFormat="false" ht="15.75" hidden="false" customHeight="false" outlineLevel="0" collapsed="false">
      <c r="A39" s="9"/>
      <c r="B39" s="9"/>
      <c r="C39" s="9"/>
      <c r="D39" s="9"/>
      <c r="E39" s="9"/>
      <c r="F39" s="9"/>
      <c r="G39" s="9"/>
      <c r="H39" s="9"/>
      <c r="I39" s="9"/>
      <c r="J39" s="9"/>
      <c r="K39" s="9"/>
      <c r="L39" s="9"/>
      <c r="M39" s="9"/>
      <c r="N39" s="9"/>
      <c r="O39" s="9"/>
      <c r="P39" s="9"/>
      <c r="Q39" s="9"/>
      <c r="R39" s="9"/>
      <c r="S39" s="9"/>
      <c r="T39" s="9"/>
      <c r="U39" s="9"/>
      <c r="V39" s="9"/>
      <c r="W39" s="9"/>
      <c r="X39" s="9"/>
      <c r="Y39" s="9"/>
      <c r="Z39" s="9"/>
    </row>
    <row r="40" customFormat="false" ht="15.75" hidden="false" customHeight="fals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9"/>
    </row>
    <row r="41" customFormat="false" ht="15.75" hidden="false" customHeight="false" outlineLevel="0" collapsed="false">
      <c r="A41" s="9"/>
      <c r="B41" s="9"/>
      <c r="C41" s="9"/>
      <c r="D41" s="9"/>
      <c r="E41" s="9"/>
      <c r="F41" s="9"/>
      <c r="G41" s="9"/>
      <c r="H41" s="9"/>
      <c r="I41" s="9"/>
      <c r="J41" s="9"/>
      <c r="K41" s="9"/>
      <c r="L41" s="9"/>
      <c r="M41" s="9"/>
      <c r="N41" s="9"/>
      <c r="O41" s="9"/>
      <c r="P41" s="9"/>
      <c r="Q41" s="9"/>
      <c r="R41" s="9"/>
      <c r="S41" s="9"/>
      <c r="T41" s="9"/>
      <c r="U41" s="9"/>
      <c r="V41" s="9"/>
      <c r="W41" s="9"/>
      <c r="X41" s="9"/>
      <c r="Y41" s="9"/>
      <c r="Z41" s="9"/>
    </row>
    <row r="42" customFormat="false" ht="15.75" hidden="false" customHeight="fals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9"/>
    </row>
    <row r="43" customFormat="false" ht="15.75" hidden="false" customHeight="false" outlineLevel="0" collapsed="false">
      <c r="A43" s="9"/>
      <c r="B43" s="9"/>
      <c r="C43" s="9"/>
      <c r="D43" s="9"/>
      <c r="E43" s="9"/>
      <c r="F43" s="9"/>
      <c r="G43" s="9"/>
      <c r="H43" s="9"/>
      <c r="I43" s="9"/>
      <c r="J43" s="9"/>
      <c r="K43" s="9"/>
      <c r="L43" s="9"/>
      <c r="M43" s="9"/>
      <c r="N43" s="9"/>
      <c r="O43" s="9"/>
      <c r="P43" s="9"/>
      <c r="Q43" s="9"/>
      <c r="R43" s="9"/>
      <c r="S43" s="9"/>
      <c r="T43" s="9"/>
      <c r="U43" s="9"/>
      <c r="V43" s="9"/>
      <c r="W43" s="9"/>
      <c r="X43" s="9"/>
      <c r="Y43" s="9"/>
      <c r="Z43" s="9"/>
    </row>
    <row r="44" customFormat="false" ht="15.75" hidden="false" customHeight="false" outlineLevel="0" collapsed="false">
      <c r="A44" s="9"/>
      <c r="B44" s="9"/>
      <c r="C44" s="9"/>
      <c r="D44" s="9"/>
      <c r="E44" s="9"/>
      <c r="F44" s="9"/>
      <c r="G44" s="9"/>
      <c r="H44" s="9"/>
      <c r="I44" s="9"/>
      <c r="J44" s="9"/>
      <c r="K44" s="9"/>
      <c r="L44" s="9"/>
      <c r="M44" s="9"/>
      <c r="N44" s="9"/>
      <c r="O44" s="9"/>
      <c r="P44" s="9"/>
      <c r="Q44" s="9"/>
      <c r="R44" s="9"/>
      <c r="S44" s="9"/>
      <c r="T44" s="9"/>
      <c r="U44" s="9"/>
      <c r="V44" s="9"/>
      <c r="W44" s="9"/>
      <c r="X44" s="9"/>
      <c r="Y44" s="9"/>
      <c r="Z44" s="9"/>
    </row>
    <row r="45" customFormat="false" ht="15.75" hidden="false" customHeight="false" outlineLevel="0" collapsed="false">
      <c r="A45" s="9"/>
      <c r="B45" s="9"/>
      <c r="C45" s="9"/>
      <c r="D45" s="9"/>
      <c r="E45" s="9"/>
      <c r="F45" s="9"/>
      <c r="G45" s="9"/>
      <c r="H45" s="9"/>
      <c r="I45" s="9"/>
      <c r="J45" s="9"/>
      <c r="K45" s="9"/>
      <c r="L45" s="9"/>
      <c r="M45" s="9"/>
      <c r="N45" s="9"/>
      <c r="O45" s="9"/>
      <c r="P45" s="9"/>
      <c r="Q45" s="9"/>
      <c r="R45" s="9"/>
      <c r="S45" s="9"/>
      <c r="T45" s="9"/>
      <c r="U45" s="9"/>
      <c r="V45" s="9"/>
      <c r="W45" s="9"/>
      <c r="X45" s="9"/>
      <c r="Y45" s="9"/>
      <c r="Z45" s="9"/>
    </row>
    <row r="46" customFormat="false" ht="15.75" hidden="false" customHeight="false" outlineLevel="0" collapsed="false">
      <c r="A46" s="9"/>
      <c r="B46" s="9"/>
      <c r="C46" s="9"/>
      <c r="D46" s="9"/>
      <c r="E46" s="9"/>
      <c r="F46" s="9"/>
      <c r="G46" s="9"/>
      <c r="H46" s="9"/>
      <c r="I46" s="9"/>
      <c r="J46" s="9"/>
      <c r="K46" s="9"/>
      <c r="L46" s="9"/>
      <c r="M46" s="9"/>
      <c r="N46" s="9"/>
      <c r="O46" s="9"/>
      <c r="P46" s="9"/>
      <c r="Q46" s="9"/>
      <c r="R46" s="9"/>
      <c r="S46" s="9"/>
      <c r="T46" s="9"/>
      <c r="U46" s="9"/>
      <c r="V46" s="9"/>
      <c r="W46" s="9"/>
      <c r="X46" s="9"/>
      <c r="Y46" s="9"/>
      <c r="Z46" s="9"/>
    </row>
    <row r="47" customFormat="false" ht="15.75" hidden="false" customHeight="false" outlineLevel="0" collapsed="false">
      <c r="A47" s="9"/>
      <c r="B47" s="9"/>
      <c r="C47" s="9"/>
      <c r="D47" s="9"/>
      <c r="E47" s="9"/>
      <c r="F47" s="9"/>
      <c r="G47" s="9"/>
      <c r="H47" s="9"/>
      <c r="I47" s="9"/>
      <c r="J47" s="9"/>
      <c r="K47" s="9"/>
      <c r="L47" s="9"/>
      <c r="M47" s="9"/>
      <c r="N47" s="9"/>
      <c r="O47" s="9"/>
      <c r="P47" s="9"/>
      <c r="Q47" s="9"/>
      <c r="R47" s="9"/>
      <c r="S47" s="9"/>
      <c r="T47" s="9"/>
      <c r="U47" s="9"/>
      <c r="V47" s="9"/>
      <c r="W47" s="9"/>
      <c r="X47" s="9"/>
      <c r="Y47" s="9"/>
      <c r="Z47" s="9"/>
    </row>
    <row r="48" customFormat="false" ht="15.75" hidden="false" customHeight="false" outlineLevel="0" collapsed="false">
      <c r="A48" s="9"/>
      <c r="B48" s="9"/>
      <c r="C48" s="9"/>
      <c r="D48" s="9"/>
      <c r="E48" s="9"/>
      <c r="F48" s="9"/>
      <c r="G48" s="9"/>
      <c r="H48" s="9"/>
      <c r="I48" s="9"/>
      <c r="J48" s="9"/>
      <c r="K48" s="9"/>
      <c r="L48" s="9"/>
      <c r="M48" s="9"/>
      <c r="N48" s="9"/>
      <c r="O48" s="9"/>
      <c r="P48" s="9"/>
      <c r="Q48" s="9"/>
      <c r="R48" s="9"/>
      <c r="S48" s="9"/>
      <c r="T48" s="9"/>
      <c r="U48" s="9"/>
      <c r="V48" s="9"/>
      <c r="W48" s="9"/>
      <c r="X48" s="9"/>
      <c r="Y48" s="9"/>
      <c r="Z48" s="9"/>
    </row>
    <row r="49" customFormat="false" ht="15.75" hidden="false" customHeight="false" outlineLevel="0" collapsed="false">
      <c r="A49" s="9"/>
      <c r="B49" s="9"/>
      <c r="C49" s="9"/>
      <c r="D49" s="9"/>
      <c r="E49" s="9"/>
      <c r="F49" s="9"/>
      <c r="G49" s="9"/>
      <c r="H49" s="9"/>
      <c r="I49" s="9"/>
      <c r="J49" s="9"/>
      <c r="K49" s="9"/>
      <c r="L49" s="9"/>
      <c r="M49" s="9"/>
      <c r="N49" s="9"/>
      <c r="O49" s="9"/>
      <c r="P49" s="9"/>
      <c r="Q49" s="9"/>
      <c r="R49" s="9"/>
      <c r="S49" s="9"/>
      <c r="T49" s="9"/>
      <c r="U49" s="9"/>
      <c r="V49" s="9"/>
      <c r="W49" s="9"/>
      <c r="X49" s="9"/>
      <c r="Y49" s="9"/>
      <c r="Z49" s="9"/>
    </row>
    <row r="50" customFormat="false" ht="15.75" hidden="false" customHeight="false" outlineLevel="0" collapsed="false">
      <c r="A50" s="9"/>
      <c r="B50" s="9"/>
      <c r="C50" s="9"/>
      <c r="D50" s="9"/>
      <c r="E50" s="9"/>
      <c r="F50" s="9"/>
      <c r="G50" s="9"/>
      <c r="H50" s="9"/>
      <c r="I50" s="9"/>
      <c r="J50" s="9"/>
      <c r="K50" s="9"/>
      <c r="L50" s="9"/>
      <c r="M50" s="9"/>
      <c r="N50" s="9"/>
      <c r="O50" s="9"/>
      <c r="P50" s="9"/>
      <c r="Q50" s="9"/>
      <c r="R50" s="9"/>
      <c r="S50" s="9"/>
      <c r="T50" s="9"/>
      <c r="U50" s="9"/>
      <c r="V50" s="9"/>
      <c r="W50" s="9"/>
      <c r="X50" s="9"/>
      <c r="Y50" s="9"/>
      <c r="Z50" s="9"/>
    </row>
    <row r="51" customFormat="false" ht="15.75" hidden="false" customHeight="false" outlineLevel="0" collapsed="false">
      <c r="A51" s="9"/>
      <c r="B51" s="9"/>
      <c r="C51" s="9"/>
      <c r="D51" s="9"/>
      <c r="E51" s="9"/>
      <c r="F51" s="9"/>
      <c r="G51" s="9"/>
      <c r="H51" s="9"/>
      <c r="I51" s="9"/>
      <c r="J51" s="9"/>
      <c r="K51" s="9"/>
      <c r="L51" s="9"/>
      <c r="M51" s="9"/>
      <c r="N51" s="9"/>
      <c r="O51" s="9"/>
      <c r="P51" s="9"/>
      <c r="Q51" s="9"/>
      <c r="R51" s="9"/>
      <c r="S51" s="9"/>
      <c r="T51" s="9"/>
      <c r="U51" s="9"/>
      <c r="V51" s="9"/>
      <c r="W51" s="9"/>
      <c r="X51" s="9"/>
      <c r="Y51" s="9"/>
      <c r="Z51" s="9"/>
    </row>
    <row r="52" customFormat="false" ht="15.75" hidden="false" customHeight="false" outlineLevel="0" collapsed="false">
      <c r="A52" s="9"/>
      <c r="B52" s="9"/>
      <c r="C52" s="9"/>
      <c r="D52" s="9"/>
      <c r="E52" s="9"/>
      <c r="F52" s="9"/>
      <c r="G52" s="9"/>
      <c r="H52" s="9"/>
      <c r="I52" s="9"/>
      <c r="J52" s="9"/>
      <c r="K52" s="9"/>
      <c r="L52" s="9"/>
      <c r="M52" s="9"/>
      <c r="N52" s="9"/>
      <c r="O52" s="9"/>
      <c r="P52" s="9"/>
      <c r="Q52" s="9"/>
      <c r="R52" s="9"/>
      <c r="S52" s="9"/>
      <c r="T52" s="9"/>
      <c r="U52" s="9"/>
      <c r="V52" s="9"/>
      <c r="W52" s="9"/>
      <c r="X52" s="9"/>
      <c r="Y52" s="9"/>
      <c r="Z52" s="9"/>
    </row>
    <row r="53" customFormat="false" ht="15.75" hidden="false" customHeight="false" outlineLevel="0" collapsed="false">
      <c r="A53" s="9"/>
      <c r="B53" s="9"/>
      <c r="C53" s="9"/>
      <c r="D53" s="9"/>
      <c r="E53" s="9"/>
      <c r="F53" s="9"/>
      <c r="G53" s="9"/>
      <c r="H53" s="9"/>
      <c r="I53" s="9"/>
      <c r="J53" s="9"/>
      <c r="K53" s="9"/>
      <c r="L53" s="9"/>
      <c r="M53" s="9"/>
      <c r="N53" s="9"/>
      <c r="O53" s="9"/>
      <c r="P53" s="9"/>
      <c r="Q53" s="9"/>
      <c r="R53" s="9"/>
      <c r="S53" s="9"/>
      <c r="T53" s="9"/>
      <c r="U53" s="9"/>
      <c r="V53" s="9"/>
      <c r="W53" s="9"/>
      <c r="X53" s="9"/>
      <c r="Y53" s="9"/>
      <c r="Z53" s="9"/>
    </row>
    <row r="54" customFormat="false" ht="15.75" hidden="false" customHeight="false" outlineLevel="0" collapsed="false">
      <c r="A54" s="9"/>
      <c r="B54" s="9"/>
      <c r="C54" s="9"/>
      <c r="D54" s="9"/>
      <c r="E54" s="9"/>
      <c r="F54" s="9"/>
      <c r="G54" s="9"/>
      <c r="H54" s="9"/>
      <c r="I54" s="9"/>
      <c r="J54" s="9"/>
      <c r="K54" s="9"/>
      <c r="L54" s="9"/>
      <c r="M54" s="9"/>
      <c r="N54" s="9"/>
      <c r="O54" s="9"/>
      <c r="P54" s="9"/>
      <c r="Q54" s="9"/>
      <c r="R54" s="9"/>
      <c r="S54" s="9"/>
      <c r="T54" s="9"/>
      <c r="U54" s="9"/>
      <c r="V54" s="9"/>
      <c r="W54" s="9"/>
      <c r="X54" s="9"/>
      <c r="Y54" s="9"/>
      <c r="Z54" s="9"/>
    </row>
    <row r="55" customFormat="false" ht="15.75" hidden="false" customHeight="false" outlineLevel="0" collapsed="false">
      <c r="A55" s="9"/>
      <c r="B55" s="9"/>
      <c r="C55" s="9"/>
      <c r="D55" s="9"/>
      <c r="E55" s="9"/>
      <c r="F55" s="9"/>
      <c r="G55" s="9"/>
      <c r="H55" s="9"/>
      <c r="I55" s="9"/>
      <c r="J55" s="9"/>
      <c r="K55" s="9"/>
      <c r="L55" s="9"/>
      <c r="M55" s="9"/>
      <c r="N55" s="9"/>
      <c r="O55" s="9"/>
      <c r="P55" s="9"/>
      <c r="Q55" s="9"/>
      <c r="R55" s="9"/>
      <c r="S55" s="9"/>
      <c r="T55" s="9"/>
      <c r="U55" s="9"/>
      <c r="V55" s="9"/>
      <c r="W55" s="9"/>
      <c r="X55" s="9"/>
      <c r="Y55" s="9"/>
      <c r="Z55" s="9"/>
    </row>
    <row r="56" customFormat="false" ht="15.75" hidden="false" customHeight="fals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c r="Z56" s="9"/>
    </row>
    <row r="57" customFormat="false" ht="15.75" hidden="false" customHeight="fals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c r="Z57" s="9"/>
    </row>
    <row r="58" customFormat="false" ht="15.75" hidden="false" customHeight="false" outlineLevel="0" collapsed="false">
      <c r="A58" s="9"/>
      <c r="B58" s="9"/>
      <c r="C58" s="9"/>
      <c r="D58" s="9"/>
      <c r="E58" s="9"/>
      <c r="F58" s="9"/>
      <c r="G58" s="9"/>
      <c r="H58" s="9"/>
      <c r="I58" s="9"/>
      <c r="J58" s="9"/>
      <c r="K58" s="9"/>
      <c r="L58" s="9"/>
      <c r="M58" s="9"/>
      <c r="N58" s="9"/>
      <c r="O58" s="9"/>
      <c r="P58" s="9"/>
      <c r="Q58" s="9"/>
      <c r="R58" s="9"/>
      <c r="S58" s="9"/>
      <c r="T58" s="9"/>
      <c r="U58" s="9"/>
      <c r="V58" s="9"/>
      <c r="W58" s="9"/>
      <c r="X58" s="9"/>
      <c r="Y58" s="9"/>
      <c r="Z58" s="9"/>
    </row>
    <row r="59" customFormat="false" ht="15.75" hidden="false" customHeight="fals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c r="Z59" s="9"/>
    </row>
    <row r="60" customFormat="false" ht="15.75" hidden="false" customHeight="fals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row>
    <row r="61" customFormat="false" ht="15.75" hidden="false" customHeight="fals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row>
    <row r="62" customFormat="false" ht="15.75" hidden="false" customHeight="fals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row>
    <row r="63" customFormat="false" ht="15.75" hidden="false" customHeight="fals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row>
    <row r="64" customFormat="false" ht="15.75" hidden="false" customHeight="fals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row>
    <row r="65" customFormat="false" ht="15.75" hidden="false" customHeight="fals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row>
    <row r="66" customFormat="false" ht="15.75" hidden="false" customHeight="fals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row>
    <row r="67" customFormat="false" ht="15.75" hidden="false" customHeight="fals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row>
    <row r="68" customFormat="false" ht="15.75" hidden="false" customHeight="false" outlineLevel="0" collapsed="false">
      <c r="A68" s="9"/>
      <c r="B68" s="9"/>
      <c r="C68" s="9"/>
      <c r="D68" s="9"/>
      <c r="E68" s="9"/>
      <c r="F68" s="9"/>
      <c r="G68" s="9"/>
      <c r="H68" s="9"/>
      <c r="I68" s="9"/>
      <c r="J68" s="9"/>
      <c r="K68" s="9"/>
      <c r="L68" s="9"/>
      <c r="M68" s="9"/>
      <c r="N68" s="9"/>
      <c r="O68" s="9"/>
      <c r="P68" s="9"/>
      <c r="Q68" s="9"/>
      <c r="R68" s="9"/>
      <c r="S68" s="9"/>
      <c r="T68" s="9"/>
      <c r="U68" s="9"/>
      <c r="V68" s="9"/>
      <c r="W68" s="9"/>
      <c r="X68" s="9"/>
      <c r="Y68" s="9"/>
      <c r="Z68" s="9"/>
    </row>
    <row r="69" customFormat="false" ht="15.75" hidden="false" customHeight="fals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row>
    <row r="70" customFormat="false" ht="15.75" hidden="false" customHeight="fals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row>
    <row r="71" customFormat="false" ht="15.75" hidden="false" customHeight="fals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row>
    <row r="72" customFormat="false" ht="15.75" hidden="false" customHeight="fals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row>
    <row r="73" customFormat="false" ht="15.75" hidden="false" customHeight="fals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row>
    <row r="74" customFormat="false" ht="15.75" hidden="false" customHeight="fals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row>
    <row r="75" customFormat="false" ht="15.75" hidden="false" customHeight="false" outlineLevel="0" collapsed="false">
      <c r="A75" s="9"/>
      <c r="B75" s="9"/>
      <c r="C75" s="9"/>
      <c r="D75" s="9"/>
      <c r="E75" s="9"/>
      <c r="F75" s="9"/>
      <c r="G75" s="9"/>
      <c r="H75" s="9"/>
      <c r="I75" s="9"/>
      <c r="J75" s="9"/>
      <c r="K75" s="9"/>
      <c r="L75" s="9"/>
      <c r="M75" s="9"/>
      <c r="N75" s="9"/>
      <c r="O75" s="9"/>
      <c r="P75" s="9"/>
      <c r="Q75" s="9"/>
      <c r="R75" s="9"/>
      <c r="S75" s="9"/>
      <c r="T75" s="9"/>
      <c r="U75" s="9"/>
      <c r="V75" s="9"/>
      <c r="W75" s="9"/>
      <c r="X75" s="9"/>
      <c r="Y75" s="9"/>
      <c r="Z75" s="9"/>
    </row>
    <row r="76" customFormat="false" ht="15.75" hidden="false" customHeight="false" outlineLevel="0" collapsed="false">
      <c r="A76" s="9"/>
      <c r="B76" s="9"/>
      <c r="C76" s="9"/>
      <c r="D76" s="9"/>
      <c r="E76" s="9"/>
      <c r="F76" s="9"/>
      <c r="G76" s="9"/>
      <c r="H76" s="9"/>
      <c r="I76" s="9"/>
      <c r="J76" s="9"/>
      <c r="K76" s="9"/>
      <c r="L76" s="9"/>
      <c r="M76" s="9"/>
      <c r="N76" s="9"/>
      <c r="O76" s="9"/>
      <c r="P76" s="9"/>
      <c r="Q76" s="9"/>
      <c r="R76" s="9"/>
      <c r="S76" s="9"/>
      <c r="T76" s="9"/>
      <c r="U76" s="9"/>
      <c r="V76" s="9"/>
      <c r="W76" s="9"/>
      <c r="X76" s="9"/>
      <c r="Y76" s="9"/>
      <c r="Z76" s="9"/>
    </row>
    <row r="77" customFormat="false" ht="15.75" hidden="false" customHeight="false" outlineLevel="0" collapsed="false">
      <c r="A77" s="9"/>
      <c r="B77" s="9"/>
      <c r="C77" s="9"/>
      <c r="D77" s="9"/>
      <c r="E77" s="9"/>
      <c r="F77" s="9"/>
      <c r="G77" s="9"/>
      <c r="H77" s="9"/>
      <c r="I77" s="9"/>
      <c r="J77" s="9"/>
      <c r="K77" s="9"/>
      <c r="L77" s="9"/>
      <c r="M77" s="9"/>
      <c r="N77" s="9"/>
      <c r="O77" s="9"/>
      <c r="P77" s="9"/>
      <c r="Q77" s="9"/>
      <c r="R77" s="9"/>
      <c r="S77" s="9"/>
      <c r="T77" s="9"/>
      <c r="U77" s="9"/>
      <c r="V77" s="9"/>
      <c r="W77" s="9"/>
      <c r="X77" s="9"/>
      <c r="Y77" s="9"/>
      <c r="Z77" s="9"/>
    </row>
    <row r="78" customFormat="false" ht="15.75" hidden="false" customHeight="false" outlineLevel="0" collapsed="false">
      <c r="A78" s="9"/>
      <c r="B78" s="9"/>
      <c r="C78" s="9"/>
      <c r="D78" s="9"/>
      <c r="E78" s="9"/>
      <c r="F78" s="9"/>
      <c r="G78" s="9"/>
      <c r="H78" s="9"/>
      <c r="I78" s="9"/>
      <c r="J78" s="9"/>
      <c r="K78" s="9"/>
      <c r="L78" s="9"/>
      <c r="M78" s="9"/>
      <c r="N78" s="9"/>
      <c r="O78" s="9"/>
      <c r="P78" s="9"/>
      <c r="Q78" s="9"/>
      <c r="R78" s="9"/>
      <c r="S78" s="9"/>
      <c r="T78" s="9"/>
      <c r="U78" s="9"/>
      <c r="V78" s="9"/>
      <c r="W78" s="9"/>
      <c r="X78" s="9"/>
      <c r="Y78" s="9"/>
      <c r="Z78" s="9"/>
    </row>
    <row r="79" customFormat="false" ht="15.75" hidden="false" customHeight="false" outlineLevel="0" collapsed="false">
      <c r="A79" s="9"/>
      <c r="B79" s="9"/>
      <c r="C79" s="9"/>
      <c r="D79" s="9"/>
      <c r="E79" s="9"/>
      <c r="F79" s="9"/>
      <c r="G79" s="9"/>
      <c r="H79" s="9"/>
      <c r="I79" s="9"/>
      <c r="J79" s="9"/>
      <c r="K79" s="9"/>
      <c r="L79" s="9"/>
      <c r="M79" s="9"/>
      <c r="N79" s="9"/>
      <c r="O79" s="9"/>
      <c r="P79" s="9"/>
      <c r="Q79" s="9"/>
      <c r="R79" s="9"/>
      <c r="S79" s="9"/>
      <c r="T79" s="9"/>
      <c r="U79" s="9"/>
      <c r="V79" s="9"/>
      <c r="W79" s="9"/>
      <c r="X79" s="9"/>
      <c r="Y79" s="9"/>
      <c r="Z79" s="9"/>
    </row>
    <row r="80" customFormat="false" ht="15.75" hidden="false" customHeight="false" outlineLevel="0" collapsed="false">
      <c r="A80" s="9"/>
      <c r="B80" s="9"/>
      <c r="C80" s="9"/>
      <c r="D80" s="9"/>
      <c r="E80" s="9"/>
      <c r="F80" s="9"/>
      <c r="G80" s="9"/>
      <c r="H80" s="9"/>
      <c r="I80" s="9"/>
      <c r="J80" s="9"/>
      <c r="K80" s="9"/>
      <c r="L80" s="9"/>
      <c r="M80" s="9"/>
      <c r="N80" s="9"/>
      <c r="O80" s="9"/>
      <c r="P80" s="9"/>
      <c r="Q80" s="9"/>
      <c r="R80" s="9"/>
      <c r="S80" s="9"/>
      <c r="T80" s="9"/>
      <c r="U80" s="9"/>
      <c r="V80" s="9"/>
      <c r="W80" s="9"/>
      <c r="X80" s="9"/>
      <c r="Y80" s="9"/>
      <c r="Z80" s="9"/>
    </row>
    <row r="81" customFormat="false" ht="15.75" hidden="false" customHeight="fals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row>
    <row r="82" customFormat="false" ht="15.75" hidden="false" customHeight="false" outlineLevel="0" collapsed="false">
      <c r="A82" s="9"/>
      <c r="B82" s="9"/>
      <c r="C82" s="9"/>
      <c r="D82" s="9"/>
      <c r="E82" s="9"/>
      <c r="F82" s="9"/>
      <c r="G82" s="9"/>
      <c r="H82" s="9"/>
      <c r="I82" s="9"/>
      <c r="J82" s="9"/>
      <c r="K82" s="9"/>
      <c r="L82" s="9"/>
      <c r="M82" s="9"/>
      <c r="N82" s="9"/>
      <c r="O82" s="9"/>
      <c r="P82" s="9"/>
      <c r="Q82" s="9"/>
      <c r="R82" s="9"/>
      <c r="S82" s="9"/>
      <c r="T82" s="9"/>
      <c r="U82" s="9"/>
      <c r="V82" s="9"/>
      <c r="W82" s="9"/>
      <c r="X82" s="9"/>
      <c r="Y82" s="9"/>
      <c r="Z82" s="9"/>
    </row>
    <row r="83" customFormat="false" ht="15.75" hidden="false" customHeight="fals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c r="Z83" s="9"/>
    </row>
    <row r="84" customFormat="false" ht="15.75" hidden="false" customHeight="false" outlineLevel="0" collapsed="false">
      <c r="A84" s="9"/>
      <c r="B84" s="9"/>
      <c r="C84" s="9"/>
      <c r="D84" s="9"/>
      <c r="E84" s="9"/>
      <c r="F84" s="9"/>
      <c r="G84" s="9"/>
      <c r="H84" s="9"/>
      <c r="I84" s="9"/>
      <c r="J84" s="9"/>
      <c r="K84" s="9"/>
      <c r="L84" s="9"/>
      <c r="M84" s="9"/>
      <c r="N84" s="9"/>
      <c r="O84" s="9"/>
      <c r="P84" s="9"/>
      <c r="Q84" s="9"/>
      <c r="R84" s="9"/>
      <c r="S84" s="9"/>
      <c r="T84" s="9"/>
      <c r="U84" s="9"/>
      <c r="V84" s="9"/>
      <c r="W84" s="9"/>
      <c r="X84" s="9"/>
      <c r="Y84" s="9"/>
      <c r="Z84" s="9"/>
    </row>
    <row r="85" customFormat="false" ht="15.75" hidden="false" customHeight="false" outlineLevel="0" collapsed="false">
      <c r="A85" s="9"/>
      <c r="B85" s="9"/>
      <c r="C85" s="9"/>
      <c r="D85" s="9"/>
      <c r="E85" s="9"/>
      <c r="F85" s="9"/>
      <c r="G85" s="9"/>
      <c r="H85" s="9"/>
      <c r="I85" s="9"/>
      <c r="J85" s="9"/>
      <c r="K85" s="9"/>
      <c r="L85" s="9"/>
      <c r="M85" s="9"/>
      <c r="N85" s="9"/>
      <c r="O85" s="9"/>
      <c r="P85" s="9"/>
      <c r="Q85" s="9"/>
      <c r="R85" s="9"/>
      <c r="S85" s="9"/>
      <c r="T85" s="9"/>
      <c r="U85" s="9"/>
      <c r="V85" s="9"/>
      <c r="W85" s="9"/>
      <c r="X85" s="9"/>
      <c r="Y85" s="9"/>
      <c r="Z85" s="9"/>
    </row>
    <row r="86" customFormat="false" ht="15.75" hidden="false" customHeight="false" outlineLevel="0" collapsed="false">
      <c r="A86" s="9"/>
      <c r="B86" s="9"/>
      <c r="C86" s="9"/>
      <c r="D86" s="9"/>
      <c r="E86" s="9"/>
      <c r="F86" s="9"/>
      <c r="G86" s="9"/>
      <c r="H86" s="9"/>
      <c r="I86" s="9"/>
      <c r="J86" s="9"/>
      <c r="K86" s="9"/>
      <c r="L86" s="9"/>
      <c r="M86" s="9"/>
      <c r="N86" s="9"/>
      <c r="O86" s="9"/>
      <c r="P86" s="9"/>
      <c r="Q86" s="9"/>
      <c r="R86" s="9"/>
      <c r="S86" s="9"/>
      <c r="T86" s="9"/>
      <c r="U86" s="9"/>
      <c r="V86" s="9"/>
      <c r="W86" s="9"/>
      <c r="X86" s="9"/>
      <c r="Y86" s="9"/>
      <c r="Z86" s="9"/>
    </row>
    <row r="87" customFormat="false" ht="15.75" hidden="false" customHeight="false" outlineLevel="0" collapsed="false">
      <c r="A87" s="9"/>
      <c r="B87" s="9"/>
      <c r="C87" s="9"/>
      <c r="D87" s="9"/>
      <c r="E87" s="9"/>
      <c r="F87" s="9"/>
      <c r="G87" s="9"/>
      <c r="H87" s="9"/>
      <c r="I87" s="9"/>
      <c r="J87" s="9"/>
      <c r="K87" s="9"/>
      <c r="L87" s="9"/>
      <c r="M87" s="9"/>
      <c r="N87" s="9"/>
      <c r="O87" s="9"/>
      <c r="P87" s="9"/>
      <c r="Q87" s="9"/>
      <c r="R87" s="9"/>
      <c r="S87" s="9"/>
      <c r="T87" s="9"/>
      <c r="U87" s="9"/>
      <c r="V87" s="9"/>
      <c r="W87" s="9"/>
      <c r="X87" s="9"/>
      <c r="Y87" s="9"/>
      <c r="Z87" s="9"/>
    </row>
    <row r="88" customFormat="false" ht="15.75" hidden="false" customHeight="false" outlineLevel="0" collapsed="false">
      <c r="A88" s="9"/>
      <c r="B88" s="9"/>
      <c r="C88" s="9"/>
      <c r="D88" s="9"/>
      <c r="E88" s="9"/>
      <c r="F88" s="9"/>
      <c r="G88" s="9"/>
      <c r="H88" s="9"/>
      <c r="I88" s="9"/>
      <c r="J88" s="9"/>
      <c r="K88" s="9"/>
      <c r="L88" s="9"/>
      <c r="M88" s="9"/>
      <c r="N88" s="9"/>
      <c r="O88" s="9"/>
      <c r="P88" s="9"/>
      <c r="Q88" s="9"/>
      <c r="R88" s="9"/>
      <c r="S88" s="9"/>
      <c r="T88" s="9"/>
      <c r="U88" s="9"/>
      <c r="V88" s="9"/>
      <c r="W88" s="9"/>
      <c r="X88" s="9"/>
      <c r="Y88" s="9"/>
      <c r="Z88" s="9"/>
    </row>
    <row r="89" customFormat="false" ht="15.75" hidden="false" customHeight="false" outlineLevel="0" collapsed="false">
      <c r="A89" s="9"/>
      <c r="B89" s="9"/>
      <c r="C89" s="9"/>
      <c r="D89" s="9"/>
      <c r="E89" s="9"/>
      <c r="F89" s="9"/>
      <c r="G89" s="9"/>
      <c r="H89" s="9"/>
      <c r="I89" s="9"/>
      <c r="J89" s="9"/>
      <c r="K89" s="9"/>
      <c r="L89" s="9"/>
      <c r="M89" s="9"/>
      <c r="N89" s="9"/>
      <c r="O89" s="9"/>
      <c r="P89" s="9"/>
      <c r="Q89" s="9"/>
      <c r="R89" s="9"/>
      <c r="S89" s="9"/>
      <c r="T89" s="9"/>
      <c r="U89" s="9"/>
      <c r="V89" s="9"/>
      <c r="W89" s="9"/>
      <c r="X89" s="9"/>
      <c r="Y89" s="9"/>
      <c r="Z89" s="9"/>
    </row>
    <row r="90" customFormat="false" ht="15.75" hidden="false" customHeight="fals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row>
    <row r="91" customFormat="false" ht="15.75" hidden="false" customHeight="false" outlineLevel="0" collapsed="false">
      <c r="A91" s="9"/>
      <c r="B91" s="9"/>
      <c r="C91" s="9"/>
      <c r="D91" s="9"/>
      <c r="E91" s="9"/>
      <c r="F91" s="9"/>
      <c r="G91" s="9"/>
      <c r="H91" s="9"/>
      <c r="I91" s="9"/>
      <c r="J91" s="9"/>
      <c r="K91" s="9"/>
      <c r="L91" s="9"/>
      <c r="M91" s="9"/>
      <c r="N91" s="9"/>
      <c r="O91" s="9"/>
      <c r="P91" s="9"/>
      <c r="Q91" s="9"/>
      <c r="R91" s="9"/>
      <c r="S91" s="9"/>
      <c r="T91" s="9"/>
      <c r="U91" s="9"/>
      <c r="V91" s="9"/>
      <c r="W91" s="9"/>
      <c r="X91" s="9"/>
      <c r="Y91" s="9"/>
      <c r="Z91" s="9"/>
    </row>
    <row r="92" customFormat="false" ht="15.75" hidden="false" customHeight="false" outlineLevel="0" collapsed="false">
      <c r="A92" s="9"/>
      <c r="B92" s="9"/>
      <c r="C92" s="9"/>
      <c r="D92" s="9"/>
      <c r="E92" s="9"/>
      <c r="F92" s="9"/>
      <c r="G92" s="9"/>
      <c r="H92" s="9"/>
      <c r="I92" s="9"/>
      <c r="J92" s="9"/>
      <c r="K92" s="9"/>
      <c r="L92" s="9"/>
      <c r="M92" s="9"/>
      <c r="N92" s="9"/>
      <c r="O92" s="9"/>
      <c r="P92" s="9"/>
      <c r="Q92" s="9"/>
      <c r="R92" s="9"/>
      <c r="S92" s="9"/>
      <c r="T92" s="9"/>
      <c r="U92" s="9"/>
      <c r="V92" s="9"/>
      <c r="W92" s="9"/>
      <c r="X92" s="9"/>
      <c r="Y92" s="9"/>
      <c r="Z92" s="9"/>
    </row>
    <row r="93" customFormat="false" ht="15.75" hidden="false" customHeight="false" outlineLevel="0" collapsed="false">
      <c r="A93" s="9"/>
      <c r="B93" s="9"/>
      <c r="C93" s="9"/>
      <c r="D93" s="9"/>
      <c r="E93" s="9"/>
      <c r="F93" s="9"/>
      <c r="G93" s="9"/>
      <c r="H93" s="9"/>
      <c r="I93" s="9"/>
      <c r="J93" s="9"/>
      <c r="K93" s="9"/>
      <c r="L93" s="9"/>
      <c r="M93" s="9"/>
      <c r="N93" s="9"/>
      <c r="O93" s="9"/>
      <c r="P93" s="9"/>
      <c r="Q93" s="9"/>
      <c r="R93" s="9"/>
      <c r="S93" s="9"/>
      <c r="T93" s="9"/>
      <c r="U93" s="9"/>
      <c r="V93" s="9"/>
      <c r="W93" s="9"/>
      <c r="X93" s="9"/>
      <c r="Y93" s="9"/>
      <c r="Z93" s="9"/>
    </row>
    <row r="94" customFormat="false" ht="15.75" hidden="false" customHeight="false" outlineLevel="0" collapsed="false">
      <c r="A94" s="9"/>
      <c r="B94" s="9"/>
      <c r="C94" s="9"/>
      <c r="D94" s="9"/>
      <c r="E94" s="9"/>
      <c r="F94" s="9"/>
      <c r="G94" s="9"/>
      <c r="H94" s="9"/>
      <c r="I94" s="9"/>
      <c r="J94" s="9"/>
      <c r="K94" s="9"/>
      <c r="L94" s="9"/>
      <c r="M94" s="9"/>
      <c r="N94" s="9"/>
      <c r="O94" s="9"/>
      <c r="P94" s="9"/>
      <c r="Q94" s="9"/>
      <c r="R94" s="9"/>
      <c r="S94" s="9"/>
      <c r="T94" s="9"/>
      <c r="U94" s="9"/>
      <c r="V94" s="9"/>
      <c r="W94" s="9"/>
      <c r="X94" s="9"/>
      <c r="Y94" s="9"/>
      <c r="Z94" s="9"/>
    </row>
    <row r="95" customFormat="false" ht="15.75" hidden="false" customHeight="false" outlineLevel="0" collapsed="false">
      <c r="A95" s="9"/>
      <c r="B95" s="9"/>
      <c r="C95" s="9"/>
      <c r="D95" s="9"/>
      <c r="E95" s="9"/>
      <c r="F95" s="9"/>
      <c r="G95" s="9"/>
      <c r="H95" s="9"/>
      <c r="I95" s="9"/>
      <c r="J95" s="9"/>
      <c r="K95" s="9"/>
      <c r="L95" s="9"/>
      <c r="M95" s="9"/>
      <c r="N95" s="9"/>
      <c r="O95" s="9"/>
      <c r="P95" s="9"/>
      <c r="Q95" s="9"/>
      <c r="R95" s="9"/>
      <c r="S95" s="9"/>
      <c r="T95" s="9"/>
      <c r="U95" s="9"/>
      <c r="V95" s="9"/>
      <c r="W95" s="9"/>
      <c r="X95" s="9"/>
      <c r="Y95" s="9"/>
      <c r="Z95" s="9"/>
    </row>
    <row r="96" customFormat="false" ht="15.75" hidden="false" customHeight="false" outlineLevel="0" collapsed="false">
      <c r="A96" s="9"/>
      <c r="B96" s="9"/>
      <c r="C96" s="9"/>
      <c r="D96" s="9"/>
      <c r="E96" s="9"/>
      <c r="F96" s="9"/>
      <c r="G96" s="9"/>
      <c r="H96" s="9"/>
      <c r="I96" s="9"/>
      <c r="J96" s="9"/>
      <c r="K96" s="9"/>
      <c r="L96" s="9"/>
      <c r="M96" s="9"/>
      <c r="N96" s="9"/>
      <c r="O96" s="9"/>
      <c r="P96" s="9"/>
      <c r="Q96" s="9"/>
      <c r="R96" s="9"/>
      <c r="S96" s="9"/>
      <c r="T96" s="9"/>
      <c r="U96" s="9"/>
      <c r="V96" s="9"/>
      <c r="W96" s="9"/>
      <c r="X96" s="9"/>
      <c r="Y96" s="9"/>
      <c r="Z96" s="9"/>
    </row>
    <row r="97" customFormat="false" ht="15.75" hidden="false" customHeight="false" outlineLevel="0" collapsed="false">
      <c r="A97" s="9"/>
      <c r="B97" s="9"/>
      <c r="C97" s="9"/>
      <c r="D97" s="9"/>
      <c r="E97" s="9"/>
      <c r="F97" s="9"/>
      <c r="G97" s="9"/>
      <c r="H97" s="9"/>
      <c r="I97" s="9"/>
      <c r="J97" s="9"/>
      <c r="K97" s="9"/>
      <c r="L97" s="9"/>
      <c r="M97" s="9"/>
      <c r="N97" s="9"/>
      <c r="O97" s="9"/>
      <c r="P97" s="9"/>
      <c r="Q97" s="9"/>
      <c r="R97" s="9"/>
      <c r="S97" s="9"/>
      <c r="T97" s="9"/>
      <c r="U97" s="9"/>
      <c r="V97" s="9"/>
      <c r="W97" s="9"/>
      <c r="X97" s="9"/>
      <c r="Y97" s="9"/>
      <c r="Z97" s="9"/>
    </row>
    <row r="98" customFormat="false" ht="15.75" hidden="false" customHeight="false" outlineLevel="0" collapsed="false">
      <c r="A98" s="9"/>
      <c r="B98" s="9"/>
      <c r="C98" s="9"/>
      <c r="D98" s="9"/>
      <c r="E98" s="9"/>
      <c r="F98" s="9"/>
      <c r="G98" s="9"/>
      <c r="H98" s="9"/>
      <c r="I98" s="9"/>
      <c r="J98" s="9"/>
      <c r="K98" s="9"/>
      <c r="L98" s="9"/>
      <c r="M98" s="9"/>
      <c r="N98" s="9"/>
      <c r="O98" s="9"/>
      <c r="P98" s="9"/>
      <c r="Q98" s="9"/>
      <c r="R98" s="9"/>
      <c r="S98" s="9"/>
      <c r="T98" s="9"/>
      <c r="U98" s="9"/>
      <c r="V98" s="9"/>
      <c r="W98" s="9"/>
      <c r="X98" s="9"/>
      <c r="Y98" s="9"/>
      <c r="Z98" s="9"/>
    </row>
    <row r="99" customFormat="false" ht="15.75" hidden="false" customHeight="false" outlineLevel="0" collapsed="false">
      <c r="A99" s="9"/>
      <c r="B99" s="9"/>
      <c r="C99" s="9"/>
      <c r="D99" s="9"/>
      <c r="E99" s="9"/>
      <c r="F99" s="9"/>
      <c r="G99" s="9"/>
      <c r="H99" s="9"/>
      <c r="I99" s="9"/>
      <c r="J99" s="9"/>
      <c r="K99" s="9"/>
      <c r="L99" s="9"/>
      <c r="M99" s="9"/>
      <c r="N99" s="9"/>
      <c r="O99" s="9"/>
      <c r="P99" s="9"/>
      <c r="Q99" s="9"/>
      <c r="R99" s="9"/>
      <c r="S99" s="9"/>
      <c r="T99" s="9"/>
      <c r="U99" s="9"/>
      <c r="V99" s="9"/>
      <c r="W99" s="9"/>
      <c r="X99" s="9"/>
      <c r="Y99" s="9"/>
      <c r="Z99" s="9"/>
    </row>
    <row r="100" customFormat="false" ht="15.75" hidden="false" customHeight="false" outlineLevel="0" collapsed="false">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Format="false" ht="15.75" hidden="false" customHeight="false" outlineLevel="0" collapsed="false">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ustomFormat="false" ht="15.75" hidden="false" customHeight="fals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ustomFormat="false" ht="15.75" hidden="false" customHeight="false" outlineLevel="0" collapsed="false">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ustomFormat="false" ht="15.75" hidden="false" customHeight="false" outlineLevel="0" collapsed="false">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ustomFormat="false" ht="15.75" hidden="false" customHeight="false" outlineLevel="0" collapsed="false">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ustomFormat="false" ht="15.75" hidden="false" customHeight="fals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ustomFormat="false" ht="15.75" hidden="false" customHeight="fals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ustomFormat="false" ht="15.75" hidden="false" customHeight="fals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ustomFormat="false" ht="15.75" hidden="false" customHeight="fals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ustomFormat="false" ht="15.75" hidden="false" customHeight="fals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ustomFormat="false" ht="15.75" hidden="false" customHeight="false" outlineLevel="0" collapsed="false">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ustomFormat="false" ht="15.75" hidden="false" customHeight="false" outlineLevel="0" collapsed="false">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ustomFormat="false" ht="15.75" hidden="false" customHeight="false" outlineLevel="0" collapsed="false">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ustomFormat="false" ht="15.75" hidden="false" customHeight="fals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ustomFormat="false" ht="15.75" hidden="false" customHeight="fals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ustomFormat="false" ht="15.75" hidden="false" customHeight="fals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ustomFormat="false" ht="15.75" hidden="false" customHeight="fals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ustomFormat="false" ht="15.75" hidden="false" customHeight="fals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ustomFormat="false" ht="15.75" hidden="false" customHeight="fals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ustomFormat="false" ht="15.75" hidden="false" customHeight="fals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ustomFormat="false" ht="15.75" hidden="false" customHeight="fals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ustomFormat="false" ht="15.75" hidden="false" customHeight="fals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ustomFormat="false" ht="15.75" hidden="false" customHeight="fals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ustomFormat="false" ht="15.75" hidden="false" customHeight="fals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ustomFormat="false" ht="15.75" hidden="false" customHeight="fals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ustomFormat="false" ht="15.75" hidden="false" customHeight="fals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ustomFormat="false" ht="15.75" hidden="false" customHeight="fals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ustomFormat="false" ht="15.75" hidden="false" customHeight="fals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ustomFormat="false" ht="15.75" hidden="false" customHeight="fals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ustomFormat="false" ht="15.75" hidden="false" customHeight="fals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ustomFormat="false" ht="15.75" hidden="false" customHeight="fals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ustomFormat="false" ht="15.75" hidden="false" customHeight="fals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ustomFormat="false" ht="15.75" hidden="false" customHeight="fals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ustomFormat="false" ht="15.75" hidden="false" customHeight="fals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ustomFormat="false" ht="15.75" hidden="false" customHeight="fals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ustomFormat="false" ht="15.75" hidden="false" customHeight="fals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ustomFormat="false" ht="15.75" hidden="false" customHeight="fals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ustomFormat="false" ht="15.75" hidden="false" customHeight="fals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ustomFormat="false" ht="15.75" hidden="false" customHeight="fals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ustomFormat="false" ht="15.75" hidden="false" customHeight="fals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ustomFormat="false" ht="15.75" hidden="false" customHeight="fals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ustomFormat="false" ht="15.75" hidden="false" customHeight="fals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ustomFormat="false" ht="15.75" hidden="false" customHeight="fals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ustomFormat="false" ht="15.75" hidden="false" customHeight="fals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ustomFormat="false" ht="15.75" hidden="false" customHeight="fals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ustomFormat="false" ht="15.75" hidden="false" customHeight="fals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ustomFormat="false" ht="15.75" hidden="false" customHeight="fals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ustomFormat="false" ht="15.75" hidden="false" customHeight="fals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ustomFormat="false" ht="15.75" hidden="false" customHeight="fals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ustomFormat="false" ht="15.75" hidden="false" customHeight="fals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ustomFormat="false" ht="15.75" hidden="false" customHeight="fals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ustomFormat="false" ht="15.75" hidden="false" customHeight="fals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ustomFormat="false" ht="15.75" hidden="false" customHeight="fals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ustomFormat="false" ht="15.75" hidden="false" customHeight="fals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ustomFormat="false" ht="15.75" hidden="false" customHeight="fals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ustomFormat="false" ht="15.75" hidden="false" customHeight="fals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ustomFormat="false" ht="15.75" hidden="false" customHeight="false" outlineLevel="0" collapsed="false">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ustomFormat="false" ht="15.75" hidden="false" customHeight="false" outlineLevel="0" collapsed="false">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ustomFormat="false" ht="15.75" hidden="false" customHeight="false" outlineLevel="0" collapsed="false">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ustomFormat="false" ht="15.75" hidden="false" customHeight="false" outlineLevel="0" collapsed="false">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ustomFormat="false" ht="15.75" hidden="false" customHeight="false" outlineLevel="0" collapsed="false">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ustomFormat="false" ht="15.75" hidden="false" customHeight="false" outlineLevel="0" collapsed="false">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ustomFormat="false" ht="15.75" hidden="false" customHeight="false" outlineLevel="0" collapsed="false">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ustomFormat="false" ht="15.75" hidden="false" customHeight="false" outlineLevel="0" collapsed="false">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ustomFormat="false" ht="15.75" hidden="false" customHeight="fals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ustomFormat="false" ht="15.75" hidden="false" customHeight="fals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ustomFormat="false" ht="15.75" hidden="false" customHeight="fals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ustomFormat="false" ht="15.75" hidden="false" customHeight="false" outlineLevel="0" collapsed="false">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ustomFormat="false" ht="15.75" hidden="false" customHeight="false" outlineLevel="0" collapsed="false">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ustomFormat="false" ht="15.75" hidden="false" customHeight="false" outlineLevel="0" collapsed="false">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ustomFormat="false" ht="15.75" hidden="false" customHeight="false" outlineLevel="0" collapsed="false">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ustomFormat="false" ht="15.75" hidden="false" customHeight="false" outlineLevel="0" collapsed="false">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ustomFormat="false" ht="15.75" hidden="false" customHeight="false" outlineLevel="0" collapsed="false">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ustomFormat="false" ht="15.75" hidden="false" customHeight="false" outlineLevel="0" collapsed="false">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ustomFormat="false" ht="15.75" hidden="false" customHeight="false" outlineLevel="0" collapsed="false">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ustomFormat="false" ht="15.75" hidden="false" customHeight="fals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ustomFormat="false" ht="15.75" hidden="false" customHeight="false" outlineLevel="0" collapsed="false">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ustomFormat="false" ht="15.75" hidden="false" customHeight="false" outlineLevel="0" collapsed="false">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ustomFormat="false" ht="15.75" hidden="false" customHeight="false" outlineLevel="0" collapsed="false">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ustomFormat="false" ht="15.75" hidden="false" customHeight="false" outlineLevel="0" collapsed="false">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ustomFormat="false" ht="15.75" hidden="false" customHeight="false" outlineLevel="0" collapsed="false">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ustomFormat="false" ht="15.75" hidden="false" customHeight="false" outlineLevel="0" collapsed="false">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ustomFormat="false" ht="15.75" hidden="false" customHeight="false" outlineLevel="0" collapsed="false">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ustomFormat="false" ht="15.75" hidden="false" customHeight="false" outlineLevel="0" collapsed="false">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ustomFormat="false" ht="15.75" hidden="false" customHeight="false" outlineLevel="0" collapsed="false">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ustomFormat="false" ht="15.75" hidden="false" customHeight="false" outlineLevel="0" collapsed="false">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ustomFormat="false" ht="15.75" hidden="false" customHeight="false" outlineLevel="0" collapsed="false">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ustomFormat="false" ht="15.75" hidden="false" customHeight="false" outlineLevel="0" collapsed="false">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ustomFormat="false" ht="15.75" hidden="false" customHeight="false" outlineLevel="0" collapsed="false">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ustomFormat="false" ht="15.75" hidden="false" customHeight="false" outlineLevel="0" collapsed="false">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ustomFormat="false" ht="15.75" hidden="false" customHeight="false" outlineLevel="0" collapsed="false">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ustomFormat="false" ht="15.75" hidden="false" customHeight="false" outlineLevel="0" collapsed="false">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ustomFormat="false" ht="15.75" hidden="false" customHeight="fals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ustomFormat="false" ht="15.75" hidden="false" customHeight="fals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Format="false" ht="15.75" hidden="false" customHeight="fals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ustomFormat="false" ht="15.75" hidden="false" customHeight="fals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Format="false" ht="15.75" hidden="false" customHeight="fals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ustomFormat="false" ht="15.75" hidden="false" customHeight="fals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Format="false" ht="15.75" hidden="false" customHeight="fals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ustomFormat="false" ht="15.75" hidden="false" customHeight="fals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Format="false" ht="15.75" hidden="false" customHeight="fals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ustomFormat="false" ht="15.75" hidden="false" customHeight="fals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Format="false" ht="15.75" hidden="false" customHeight="fals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ustomFormat="false" ht="15.75" hidden="false" customHeight="fals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Format="false" ht="15.75" hidden="false" customHeight="fals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ustomFormat="false" ht="15.75" hidden="false" customHeight="fals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Format="false" ht="15.75" hidden="false" customHeight="fals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ustomFormat="false" ht="15.75" hidden="false" customHeight="fals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Format="false" ht="15.75" hidden="false" customHeight="fals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ustomFormat="false" ht="15.75" hidden="false" customHeight="fals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Format="false" ht="15.75" hidden="false" customHeight="fals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ustomFormat="false" ht="15.75" hidden="false" customHeight="fals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Format="false" ht="15.75" hidden="false" customHeight="fals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ustomFormat="false" ht="15.75" hidden="false" customHeight="fals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Format="false" ht="15.75" hidden="false" customHeight="fals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ustomFormat="false" ht="15.75" hidden="false" customHeight="fals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Format="false" ht="15.75" hidden="false" customHeight="fals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ustomFormat="false" ht="15.75" hidden="false" customHeight="fals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5.75" hidden="false" customHeight="fals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5.75" hidden="false" customHeight="fals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5.75" hidden="false" customHeight="fals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5.75" hidden="false" customHeight="fals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5.75" hidden="false" customHeight="fals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5.75" hidden="false" customHeight="fals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5.75" hidden="false" customHeight="fals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5.75" hidden="false" customHeight="fals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5.75" hidden="false" customHeight="fals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5.75" hidden="false" customHeight="fals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5.75" hidden="false" customHeight="fals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5.75" hidden="false" customHeight="fals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5.75" hidden="false" customHeight="fals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5.75" hidden="false" customHeight="fals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5.75" hidden="false" customHeight="fals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5.75" hidden="false" customHeight="fals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5.75" hidden="false" customHeight="fals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5.75" hidden="false" customHeight="fals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5.75" hidden="false" customHeight="fals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5.75" hidden="false" customHeight="fals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5.75" hidden="false" customHeight="fals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5.75" hidden="false" customHeight="fals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5.75" hidden="false" customHeight="fals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5.75" hidden="false" customHeight="fals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5.75" hidden="false" customHeight="fals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5.75" hidden="false" customHeight="fals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5.75" hidden="false" customHeight="fals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5.75" hidden="false" customHeight="fals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5.75" hidden="false" customHeight="fals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5.75" hidden="false" customHeight="fals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5.75" hidden="false" customHeight="fals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5.75" hidden="false" customHeight="fals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5.75" hidden="false" customHeight="fals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5.75" hidden="false" customHeight="fals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5.75" hidden="false" customHeight="fals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5.75" hidden="false" customHeight="fals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5.75" hidden="false" customHeight="fals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5.75" hidden="false" customHeight="fals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5.75" hidden="false" customHeight="fals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5.75" hidden="false" customHeight="fals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5.75" hidden="false" customHeight="fals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5.75" hidden="false" customHeight="fals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5.75" hidden="false" customHeight="fals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5.75" hidden="false" customHeight="fals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5.75" hidden="false" customHeight="fals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5.75" hidden="false" customHeight="fals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5.75" hidden="false" customHeight="fals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5.75" hidden="false" customHeight="fals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5.75" hidden="false" customHeight="fals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5.75" hidden="false" customHeight="fals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5.75" hidden="false" customHeight="fals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5.75" hidden="false" customHeight="fals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5.75" hidden="false" customHeight="fals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5.75" hidden="false" customHeight="fals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5.75" hidden="false" customHeight="fals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5.75" hidden="false" customHeight="fals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5.75" hidden="false" customHeight="fals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5.75" hidden="false" customHeight="fals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5.75" hidden="false" customHeight="fals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5.75" hidden="false" customHeight="fals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5.75" hidden="false" customHeight="fals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5.75" hidden="false" customHeight="fals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5.75" hidden="false" customHeight="fals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5.75" hidden="false" customHeight="fals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5.75" hidden="false" customHeight="fals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5.75" hidden="false" customHeight="fals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5.75" hidden="false" customHeight="fals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5.75" hidden="false" customHeight="fals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5.75" hidden="false" customHeight="fals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5.75" hidden="false" customHeight="fals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5.75" hidden="false" customHeight="fals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5.75" hidden="false" customHeight="fals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5.75" hidden="false" customHeight="fals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5.75" hidden="false" customHeight="fals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5.75" hidden="false" customHeight="fals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5.75" hidden="false" customHeight="fals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5.75" hidden="false" customHeight="fals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5.75" hidden="false" customHeight="fals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5.75" hidden="false" customHeight="fals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5.75" hidden="false" customHeight="fals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5.75" hidden="false" customHeight="fals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5.75" hidden="false" customHeight="fals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5.75" hidden="false" customHeight="fals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5.75" hidden="false" customHeight="fals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5.75" hidden="false" customHeight="fals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5.75" hidden="false" customHeight="fals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5.75" hidden="false" customHeight="fals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5.75" hidden="false" customHeight="fals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5.75" hidden="false" customHeight="fals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5.75" hidden="false" customHeight="fals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5.75" hidden="false" customHeight="fals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5.75" hidden="false" customHeight="fals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5.75" hidden="false" customHeight="fals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5.75" hidden="false" customHeight="fals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5.75" hidden="false" customHeight="fals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5.75" hidden="false" customHeight="fals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5.75" hidden="false" customHeight="fals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5.75" hidden="false" customHeight="fals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5.75" hidden="false" customHeight="fals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5.75" hidden="false" customHeight="fals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5.75" hidden="false" customHeight="fals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5.75" hidden="false" customHeight="fals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5.75" hidden="false" customHeight="fals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5.75" hidden="false" customHeight="fals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5.75" hidden="false" customHeight="fals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5.75" hidden="false" customHeight="fals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5.75" hidden="false" customHeight="fals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5.75" hidden="false" customHeight="fals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5.75" hidden="false" customHeight="fals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5.75" hidden="false" customHeight="fals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5.75" hidden="false" customHeight="fals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5.75" hidden="false" customHeight="fals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5.75" hidden="false" customHeight="fals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5.75" hidden="false" customHeight="fals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5.75" hidden="false" customHeight="fals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5.75" hidden="false" customHeight="fals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5.75" hidden="false" customHeight="fals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5.75" hidden="false" customHeight="fals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5.75" hidden="false" customHeight="fals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5.75" hidden="false" customHeight="fals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5.75" hidden="false" customHeight="fals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5.75" hidden="false" customHeight="fals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5.75" hidden="false" customHeight="fals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5.75" hidden="false" customHeight="fals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5.75" hidden="false" customHeight="fals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5.75" hidden="false" customHeight="fals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5.75" hidden="false" customHeight="fals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5.75" hidden="false" customHeight="fals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5.75" hidden="false" customHeight="fals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5.75" hidden="false" customHeight="fals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5.75" hidden="false" customHeight="fals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5.75" hidden="false" customHeight="fals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5.75" hidden="false" customHeight="fals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5.75" hidden="false" customHeight="fals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5.75" hidden="false" customHeight="fals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5.75" hidden="false" customHeight="fals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5.75" hidden="false" customHeight="fals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5.75" hidden="false" customHeight="fals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5.75" hidden="false" customHeight="fals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5.75" hidden="false" customHeight="fals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5.75" hidden="false" customHeight="fals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5.75" hidden="false" customHeight="fals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5.75" hidden="false" customHeight="fals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5.75" hidden="false" customHeight="fals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5.75" hidden="false" customHeight="fals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5.75" hidden="false" customHeight="fals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5.75" hidden="false" customHeight="fals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5.75" hidden="false" customHeight="fals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5.75" hidden="false" customHeight="fals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5.75" hidden="false" customHeight="fals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5.75" hidden="false" customHeight="fals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5.75" hidden="false" customHeight="fals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5.75" hidden="false" customHeight="fals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5.75" hidden="false" customHeight="fals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5.75" hidden="false" customHeight="fals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5.75" hidden="false" customHeight="fals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5.75" hidden="false" customHeight="fals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5.75" hidden="false" customHeight="fals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5.75" hidden="false" customHeight="fals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5.75" hidden="false" customHeight="fals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5.75" hidden="false" customHeight="fals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5.75" hidden="false" customHeight="fals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5.75" hidden="false" customHeight="fals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5.75" hidden="false" customHeight="fals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5.75" hidden="false" customHeight="fals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5.75" hidden="false" customHeight="fals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5.75" hidden="false" customHeight="fals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5.75" hidden="false" customHeight="fals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5.75" hidden="false" customHeight="fals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5.75" hidden="false" customHeight="fals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5.75" hidden="false" customHeight="fals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5.75" hidden="false" customHeight="fals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5.75" hidden="false" customHeight="fals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5.75" hidden="false" customHeight="fals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5.75" hidden="false" customHeight="fals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5.75" hidden="false" customHeight="fals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5.75" hidden="false" customHeight="fals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5.75" hidden="false" customHeight="fals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5.75" hidden="false" customHeight="fals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5.75" hidden="false" customHeight="fals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5.75" hidden="false" customHeight="fals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5.75" hidden="false" customHeight="fals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5.75" hidden="false" customHeight="fals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5.75" hidden="false" customHeight="fals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5.75" hidden="false" customHeight="fals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5.75" hidden="false" customHeight="fals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5.75" hidden="false" customHeight="fals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5.75" hidden="false" customHeight="fals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5.75" hidden="false" customHeight="fals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5.75" hidden="false" customHeight="fals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5.75" hidden="false" customHeight="fals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5.75" hidden="false" customHeight="fals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5.75" hidden="false" customHeight="fals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5.75" hidden="false" customHeight="fals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5.75" hidden="false" customHeight="fals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5.75" hidden="false" customHeight="fals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5.75" hidden="false" customHeight="fals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5.75" hidden="false" customHeight="fals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5.75" hidden="false" customHeight="fals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5.75" hidden="false" customHeight="fals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fals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fals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fals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fals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fals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fals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fals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fals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fals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fals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fals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fals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fals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fals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fals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fals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fals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fals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fals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fals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fals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fals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fals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fals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fals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fals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fals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fals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fals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fals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fals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fals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fals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fals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fals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fals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fals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fals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fals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fals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fals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fals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fals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fals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fals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fals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fals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fals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fals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fals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fals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fals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fals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fals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fals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fals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fals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fals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fals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fals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fals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fals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fals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fals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fals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fals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fals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fals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fals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fals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fals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fals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fals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fals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fals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fals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fals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fals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fals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fals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fals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fals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fals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fals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fals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fals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fals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fals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fals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fals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fals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fals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fals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fals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fals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fals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fals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fals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fals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fals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fals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fals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fals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fals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fals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fals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fals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fals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fals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fals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fals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fals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fals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fals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fals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fals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fals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fals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fals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fals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fals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fals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fals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fals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fals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fals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fals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fals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fals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fals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fals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fals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fals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fals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fals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fals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fals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fals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fals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fals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fals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fals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fals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fals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fals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fals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fals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fals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fals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fals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fals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fals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fals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fals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fals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fals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fals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fals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fals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fals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fals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fals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fals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fals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fals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fals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fals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fals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fals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fals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fals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fals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fals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fals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fals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fals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fals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fals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fals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fals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fals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fals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fals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fals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fals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fals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fals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fals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fals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fals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fals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fals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fals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fals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fals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fals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fals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fals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fals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fals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fals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fals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fals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fals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fals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fals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fals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fals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fals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fals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fals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fals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fals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fals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fals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fals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fals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fals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fals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fals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fals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fals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fals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fals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fals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fals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fals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fals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fals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fals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fals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fals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fals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fals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fals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fals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fals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fals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fals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fals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fals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fals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fals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fals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fals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fals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fals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fals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fals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fals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fals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fals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fals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fals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fals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fals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fals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fals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fals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fals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fals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fals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fals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fals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fals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fals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fals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fals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fals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fals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fals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fals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fals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fals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fals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fals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fals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fals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fals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fals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fals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fals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fals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fals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fals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fals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fals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fals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fals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fals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fals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fals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fals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fals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fals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fals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fals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fals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fals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fals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fals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fals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fals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fals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fals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fals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fals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fals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fals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fals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fals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fals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fals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fals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fals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fals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fals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fals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fals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fals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fals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fals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fals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fals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fals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fals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fals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fals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fals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fals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fals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fals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fals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fals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fals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fals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fals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fals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fals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fals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fals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fals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fals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fals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fals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fals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fals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fals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fals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fals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fals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fals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fals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fals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fals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fals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fals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fals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fals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fals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fals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fals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fals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fals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fals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fals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fals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fals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fals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fals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fals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fals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fals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fals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fals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fals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fals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fals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fals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fals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fals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fals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fals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fals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fals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fals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fals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fals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fals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fals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fals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fals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fals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fals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fals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fals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fals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fals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fals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fals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fals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fals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fals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fals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fals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fals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fals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fals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fals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fals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fals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fals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fals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fals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fals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fals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fals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fals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fals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fals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fals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fals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fals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fals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fals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fals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fals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fals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fals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fals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fals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fals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fals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fals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fals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fals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fals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fals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fals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fals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fals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fals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fals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fals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fals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fals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fals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fals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fals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fals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fals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fals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fals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fals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fals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fals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fals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fals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fals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fals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fals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fals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fals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fals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fals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fals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fals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fals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fals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fals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fals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fals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fals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fals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fals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fals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fals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fals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fals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fals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fals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fals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fals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fals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fals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fals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fals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fals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fals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fals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fals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fals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fals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fals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dataValidations count="1">
    <dataValidation allowBlank="true" errorStyle="stop" operator="between" showDropDown="false" showErrorMessage="true" showInputMessage="false" sqref="A2:A5 A7:A11" type="list">
      <formula1>"5W1H,Base,CoT,tldr,Heading,Jeremy,Begoña,Alba,Naiara"</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52:A101 B3"/>
    </sheetView>
  </sheetViews>
  <sheetFormatPr defaultColWidth="12.6328125" defaultRowHeight="15.75" zeroHeight="false" outlineLevelRow="0" outlineLevelCol="0"/>
  <cols>
    <col collapsed="false" customWidth="true" hidden="false" outlineLevel="0" max="2" min="2" style="1" width="17.75"/>
    <col collapsed="false" customWidth="false" hidden="true" outlineLevel="0" max="11" min="10" style="1" width="12.63"/>
  </cols>
  <sheetData>
    <row r="1" customFormat="false" ht="15.75" hidden="false" customHeight="false" outlineLevel="0" collapsed="false">
      <c r="A1" s="2" t="s">
        <v>0</v>
      </c>
      <c r="B1" s="2" t="s">
        <v>1</v>
      </c>
      <c r="C1" s="2" t="s">
        <v>2</v>
      </c>
      <c r="D1" s="2" t="s">
        <v>3</v>
      </c>
      <c r="E1" s="3" t="s">
        <v>4</v>
      </c>
      <c r="F1" s="3" t="s">
        <v>5</v>
      </c>
      <c r="G1" s="3" t="s">
        <v>6</v>
      </c>
      <c r="H1" s="3" t="s">
        <v>7</v>
      </c>
      <c r="I1" s="3" t="s">
        <v>8</v>
      </c>
      <c r="J1" s="2" t="s">
        <v>302</v>
      </c>
      <c r="K1" s="2" t="s">
        <v>303</v>
      </c>
    </row>
    <row r="2" customFormat="false" ht="15.75" hidden="false" customHeight="false" outlineLevel="0" collapsed="false">
      <c r="A2" s="128" t="str">
        <f aca="false">'🤖 Claude Haiku 3.5'!$A$2</f>
        <v>https://www.berria.eus/kirola/hau-badakit-egunen-batean-aterako-da-barruan-dudan-jokoa_2123931_102.html</v>
      </c>
      <c r="B2" s="4" t="str">
        <f aca="false">"Claude Sonnet 3.5"</f>
        <v>Claude Sonnet 3.5</v>
      </c>
      <c r="C2" s="129" t="str">
        <f aca="false">'🤖 Claude Haiku 3.5'!C2</f>
        <v>Base</v>
      </c>
      <c r="D2" s="130" t="n">
        <f aca="false">'🤖 Claude Haiku 3.5'!E2</f>
        <v>0.1825876663</v>
      </c>
      <c r="E2" s="129" t="n">
        <f aca="false">'🤖 Claude Haiku 3.5'!F2</f>
        <v>3</v>
      </c>
      <c r="F2" s="129" t="n">
        <f aca="false">'🤖 Claude Haiku 3.5'!G2</f>
        <v>5</v>
      </c>
      <c r="G2" s="129" t="n">
        <f aca="false">'🤖 Claude Haiku 3.5'!H2</f>
        <v>4</v>
      </c>
      <c r="H2" s="129" t="n">
        <f aca="false">'🤖 Claude Haiku 3.5'!I2</f>
        <v>4</v>
      </c>
      <c r="I2" s="129" t="n">
        <f aca="false">'🤖 Claude Haiku 3.5'!J2</f>
        <v>4</v>
      </c>
      <c r="J2" s="9" t="n">
        <f aca="false">VLOOKUP(B2,__lookup__!A:B,2,FALSE())</f>
        <v>1</v>
      </c>
      <c r="K2" s="9" t="n">
        <f aca="false">VLOOKUP(C2,__lookup__!A:B,2,FALSE())</f>
        <v>10</v>
      </c>
      <c r="M2" s="131"/>
      <c r="N2" s="131"/>
      <c r="O2" s="131"/>
      <c r="P2" s="131"/>
      <c r="Q2" s="131"/>
      <c r="R2" s="131"/>
      <c r="S2" s="131"/>
    </row>
    <row r="3" customFormat="false" ht="15.75" hidden="false" customHeight="false" outlineLevel="0" collapsed="false">
      <c r="A3" s="128" t="str">
        <f aca="false">'🤖 Claude Haiku 3.5'!$A$2</f>
        <v>https://www.berria.eus/kirola/hau-badakit-egunen-batean-aterako-da-barruan-dudan-jokoa_2123931_102.html</v>
      </c>
      <c r="B3" s="4" t="str">
        <f aca="false">"Claude Sonnet 3.5"</f>
        <v>Claude Sonnet 3.5</v>
      </c>
      <c r="C3" s="129" t="str">
        <f aca="false">'🤖 Claude Haiku 3.5'!C3</f>
        <v>CoT</v>
      </c>
      <c r="D3" s="132" t="n">
        <f aca="false">'🤖 Claude Haiku 3.5'!E3</f>
        <v>0.1245465538</v>
      </c>
      <c r="E3" s="129" t="n">
        <f aca="false">'🤖 Claude Haiku 3.5'!F3</f>
        <v>4</v>
      </c>
      <c r="F3" s="129" t="n">
        <f aca="false">'🤖 Claude Haiku 3.5'!G3</f>
        <v>3</v>
      </c>
      <c r="G3" s="129" t="n">
        <f aca="false">'🤖 Claude Haiku 3.5'!H3</f>
        <v>5</v>
      </c>
      <c r="H3" s="129" t="n">
        <f aca="false">'🤖 Claude Haiku 3.5'!I3</f>
        <v>4</v>
      </c>
      <c r="I3" s="129" t="n">
        <f aca="false">'🤖 Claude Haiku 3.5'!J3</f>
        <v>4</v>
      </c>
    </row>
    <row r="4" customFormat="false" ht="15.75" hidden="false" customHeight="false" outlineLevel="0" collapsed="false">
      <c r="A4" s="128" t="str">
        <f aca="false">'🤖 Claude Haiku 3.5'!$A$2</f>
        <v>https://www.berria.eus/kirola/hau-badakit-egunen-batean-aterako-da-barruan-dudan-jokoa_2123931_102.html</v>
      </c>
      <c r="B4" s="4" t="str">
        <f aca="false">"Claude Sonnet 3.5"</f>
        <v>Claude Sonnet 3.5</v>
      </c>
      <c r="C4" s="129" t="str">
        <f aca="false">'🤖 Claude Haiku 3.5'!C4</f>
        <v>5W1H</v>
      </c>
      <c r="D4" s="133" t="n">
        <f aca="false">'🤖 Claude Haiku 3.5'!E4</f>
        <v>0.169286578</v>
      </c>
      <c r="E4" s="129" t="n">
        <f aca="false">'🤖 Claude Haiku 3.5'!F4</f>
        <v>3</v>
      </c>
      <c r="F4" s="129" t="n">
        <f aca="false">'🤖 Claude Haiku 3.5'!G4</f>
        <v>5</v>
      </c>
      <c r="G4" s="129" t="n">
        <f aca="false">'🤖 Claude Haiku 3.5'!H4</f>
        <v>5</v>
      </c>
      <c r="H4" s="129" t="n">
        <f aca="false">'🤖 Claude Haiku 3.5'!I4</f>
        <v>4</v>
      </c>
      <c r="I4" s="129" t="n">
        <f aca="false">'🤖 Claude Haiku 3.5'!J4</f>
        <v>5</v>
      </c>
    </row>
    <row r="5" customFormat="false" ht="15.75" hidden="false" customHeight="false" outlineLevel="0" collapsed="false">
      <c r="A5" s="128" t="str">
        <f aca="false">'🤖 Claude Haiku 3.5'!$A$2</f>
        <v>https://www.berria.eus/kirola/hau-badakit-egunen-batean-aterako-da-barruan-dudan-jokoa_2123931_102.html</v>
      </c>
      <c r="B5" s="4" t="str">
        <f aca="false">"Claude Sonnet 3.5"</f>
        <v>Claude Sonnet 3.5</v>
      </c>
      <c r="C5" s="129" t="str">
        <f aca="false">'🤖 Claude Haiku 3.5'!C5</f>
        <v>tldr</v>
      </c>
      <c r="D5" s="134" t="n">
        <f aca="false">'🤖 Claude Haiku 3.5'!E5</f>
        <v>0.2261185006</v>
      </c>
      <c r="E5" s="129" t="n">
        <f aca="false">'🤖 Claude Haiku 3.5'!F5</f>
        <v>3</v>
      </c>
      <c r="F5" s="129" t="n">
        <f aca="false">'🤖 Claude Haiku 3.5'!G5</f>
        <v>4</v>
      </c>
      <c r="G5" s="129" t="n">
        <f aca="false">'🤖 Claude Haiku 3.5'!H5</f>
        <v>1</v>
      </c>
      <c r="H5" s="129" t="n">
        <f aca="false">'🤖 Claude Haiku 3.5'!I5</f>
        <v>3</v>
      </c>
      <c r="I5" s="129" t="n">
        <f aca="false">'🤖 Claude Haiku 3.5'!J5</f>
        <v>4</v>
      </c>
    </row>
    <row r="6" customFormat="false" ht="15.75" hidden="false" customHeight="false" outlineLevel="0" collapsed="false">
      <c r="A6" s="9"/>
      <c r="B6" s="9"/>
      <c r="C6" s="51"/>
      <c r="D6" s="9"/>
      <c r="E6" s="51"/>
      <c r="F6" s="51"/>
      <c r="G6" s="51"/>
      <c r="H6" s="51"/>
      <c r="I6" s="51"/>
    </row>
    <row r="7" customFormat="false" ht="15.75" hidden="false" customHeight="false" outlineLevel="0" collapsed="false">
      <c r="A7" s="128" t="str">
        <f aca="false">'🤖 Claude Haiku 3.5'!$A$7</f>
        <v>https://www.berria.eus/ekonomia/kutxabankek-2116-euro-bideratu-zituen-karbono-gutxiko-proiektuak-finantzatzera_2120192_102.html</v>
      </c>
      <c r="B7" s="4" t="str">
        <f aca="false">"Claude Sonnet 3.5"</f>
        <v>Claude Sonnet 3.5</v>
      </c>
      <c r="C7" s="129" t="str">
        <f aca="false">'🤖 Claude Haiku 3.5'!C7</f>
        <v>Base</v>
      </c>
      <c r="D7" s="135" t="n">
        <f aca="false">'🤖 Claude Haiku 3.5'!E7</f>
        <v>0.8661417323</v>
      </c>
      <c r="E7" s="129" t="n">
        <f aca="false">'🤖 Claude Haiku 3.5'!F7</f>
        <v>3</v>
      </c>
      <c r="F7" s="129" t="n">
        <f aca="false">'🤖 Claude Haiku 3.5'!G7</f>
        <v>4</v>
      </c>
      <c r="G7" s="129" t="n">
        <f aca="false">'🤖 Claude Haiku 3.5'!H7</f>
        <v>5</v>
      </c>
      <c r="H7" s="129" t="n">
        <f aca="false">'🤖 Claude Haiku 3.5'!I7</f>
        <v>2</v>
      </c>
      <c r="I7" s="129" t="n">
        <f aca="false">'🤖 Claude Haiku 3.5'!J7</f>
        <v>5</v>
      </c>
    </row>
    <row r="8" customFormat="false" ht="15.75" hidden="false" customHeight="false" outlineLevel="0" collapsed="false">
      <c r="A8" s="128" t="str">
        <f aca="false">'🤖 Claude Haiku 3.5'!$A$7</f>
        <v>https://www.berria.eus/ekonomia/kutxabankek-2116-euro-bideratu-zituen-karbono-gutxiko-proiektuak-finantzatzera_2120192_102.html</v>
      </c>
      <c r="B8" s="4" t="str">
        <f aca="false">"Claude Sonnet 3.5"</f>
        <v>Claude Sonnet 3.5</v>
      </c>
      <c r="C8" s="129" t="str">
        <f aca="false">'🤖 Claude Haiku 3.5'!C8</f>
        <v>CoT</v>
      </c>
      <c r="D8" s="135" t="n">
        <f aca="false">'🤖 Claude Haiku 3.5'!E8</f>
        <v>0.4488188976</v>
      </c>
      <c r="E8" s="129" t="n">
        <f aca="false">'🤖 Claude Haiku 3.5'!F8</f>
        <v>3</v>
      </c>
      <c r="F8" s="129" t="n">
        <f aca="false">'🤖 Claude Haiku 3.5'!G8</f>
        <v>4</v>
      </c>
      <c r="G8" s="129" t="n">
        <f aca="false">'🤖 Claude Haiku 3.5'!H8</f>
        <v>4</v>
      </c>
      <c r="H8" s="129" t="n">
        <f aca="false">'🤖 Claude Haiku 3.5'!I8</f>
        <v>3</v>
      </c>
      <c r="I8" s="129" t="n">
        <f aca="false">'🤖 Claude Haiku 3.5'!J8</f>
        <v>5</v>
      </c>
    </row>
    <row r="9" customFormat="false" ht="15.75" hidden="false" customHeight="false" outlineLevel="0" collapsed="false">
      <c r="A9" s="128" t="str">
        <f aca="false">'🤖 Claude Haiku 3.5'!$A$7</f>
        <v>https://www.berria.eus/ekonomia/kutxabankek-2116-euro-bideratu-zituen-karbono-gutxiko-proiektuak-finantzatzera_2120192_102.html</v>
      </c>
      <c r="B9" s="4" t="str">
        <f aca="false">"Claude Sonnet 3.5"</f>
        <v>Claude Sonnet 3.5</v>
      </c>
      <c r="C9" s="129" t="str">
        <f aca="false">'🤖 Claude Haiku 3.5'!C9</f>
        <v>5W1H</v>
      </c>
      <c r="D9" s="135" t="n">
        <f aca="false">'🤖 Claude Haiku 3.5'!E9</f>
        <v>0.842519685</v>
      </c>
      <c r="E9" s="129" t="n">
        <f aca="false">'🤖 Claude Haiku 3.5'!F9</f>
        <v>3</v>
      </c>
      <c r="F9" s="129" t="n">
        <f aca="false">'🤖 Claude Haiku 3.5'!G9</f>
        <v>5</v>
      </c>
      <c r="G9" s="129" t="n">
        <f aca="false">'🤖 Claude Haiku 3.5'!H9</f>
        <v>5</v>
      </c>
      <c r="H9" s="129" t="n">
        <f aca="false">'🤖 Claude Haiku 3.5'!I9</f>
        <v>2</v>
      </c>
      <c r="I9" s="129" t="n">
        <f aca="false">'🤖 Claude Haiku 3.5'!J9</f>
        <v>5</v>
      </c>
      <c r="N9" s="131"/>
      <c r="O9" s="131"/>
      <c r="P9" s="131"/>
      <c r="Q9" s="131"/>
      <c r="R9" s="131"/>
      <c r="S9" s="131"/>
      <c r="T9" s="131"/>
    </row>
    <row r="10" customFormat="false" ht="15.75" hidden="false" customHeight="false" outlineLevel="0" collapsed="false">
      <c r="A10" s="128" t="str">
        <f aca="false">'🤖 Claude Haiku 3.5'!$A$7</f>
        <v>https://www.berria.eus/ekonomia/kutxabankek-2116-euro-bideratu-zituen-karbono-gutxiko-proiektuak-finantzatzera_2120192_102.html</v>
      </c>
      <c r="B10" s="4" t="str">
        <f aca="false">"Claude Sonnet 3.5"</f>
        <v>Claude Sonnet 3.5</v>
      </c>
      <c r="C10" s="129" t="str">
        <f aca="false">'🤖 Claude Haiku 3.5'!C10</f>
        <v>tldr</v>
      </c>
      <c r="D10" s="136" t="n">
        <f aca="false">'🤖 Claude Haiku 3.5'!E10</f>
        <v>0.3385826772</v>
      </c>
      <c r="E10" s="129" t="n">
        <f aca="false">'🤖 Claude Haiku 3.5'!F10</f>
        <v>3</v>
      </c>
      <c r="F10" s="129" t="n">
        <f aca="false">'🤖 Claude Haiku 3.5'!G10</f>
        <v>5</v>
      </c>
      <c r="G10" s="129" t="n">
        <f aca="false">'🤖 Claude Haiku 3.5'!H10</f>
        <v>5</v>
      </c>
      <c r="H10" s="129" t="n">
        <f aca="false">'🤖 Claude Haiku 3.5'!I10</f>
        <v>4</v>
      </c>
      <c r="I10" s="129" t="n">
        <f aca="false">'🤖 Claude Haiku 3.5'!J10</f>
        <v>5</v>
      </c>
    </row>
    <row r="11" customFormat="false" ht="15.75" hidden="false" customHeight="false" outlineLevel="0" collapsed="false">
      <c r="A11" s="9"/>
      <c r="B11" s="9"/>
      <c r="C11" s="51"/>
      <c r="D11" s="9"/>
      <c r="E11" s="51"/>
      <c r="F11" s="51"/>
      <c r="G11" s="51"/>
      <c r="H11" s="51"/>
      <c r="I11" s="51"/>
    </row>
    <row r="12" customFormat="false" ht="15.75" hidden="false" customHeight="false" outlineLevel="0" collapsed="false">
      <c r="A12" s="128" t="str">
        <f aca="false">'🤖 Claude Haiku 3.5'!$A$12</f>
        <v>https://www.berria.eus/bizigiro/tradizioa-eta-abangoardia_2126379_102.html</v>
      </c>
      <c r="B12" s="4" t="str">
        <f aca="false">"Claude Sonnet 3.5"</f>
        <v>Claude Sonnet 3.5</v>
      </c>
      <c r="C12" s="129" t="str">
        <f aca="false">'🤖 Claude Haiku 3.5'!C12</f>
        <v>Base</v>
      </c>
      <c r="D12" s="137" t="n">
        <f aca="false">'🤖 Claude Haiku 3.5'!E12</f>
        <v>0.3578947368</v>
      </c>
      <c r="E12" s="129" t="n">
        <f aca="false">'🤖 Claude Haiku 3.5'!F12</f>
        <v>3</v>
      </c>
      <c r="F12" s="129" t="n">
        <f aca="false">'🤖 Claude Haiku 3.5'!G12</f>
        <v>5</v>
      </c>
      <c r="G12" s="129" t="n">
        <f aca="false">'🤖 Claude Haiku 3.5'!H12</f>
        <v>4</v>
      </c>
      <c r="H12" s="129" t="n">
        <f aca="false">'🤖 Claude Haiku 3.5'!I12</f>
        <v>2</v>
      </c>
      <c r="I12" s="129" t="n">
        <f aca="false">'🤖 Claude Haiku 3.5'!J12</f>
        <v>5</v>
      </c>
    </row>
    <row r="13" customFormat="false" ht="15.75" hidden="false" customHeight="false" outlineLevel="0" collapsed="false">
      <c r="A13" s="128" t="str">
        <f aca="false">'🤖 Claude Haiku 3.5'!$A$12</f>
        <v>https://www.berria.eus/bizigiro/tradizioa-eta-abangoardia_2126379_102.html</v>
      </c>
      <c r="B13" s="4" t="str">
        <f aca="false">"Claude Sonnet 3.5"</f>
        <v>Claude Sonnet 3.5</v>
      </c>
      <c r="C13" s="129" t="str">
        <f aca="false">'🤖 Claude Haiku 3.5'!C13</f>
        <v>CoT</v>
      </c>
      <c r="D13" s="136" t="n">
        <f aca="false">'🤖 Claude Haiku 3.5'!E13</f>
        <v>0.2578947368</v>
      </c>
      <c r="E13" s="129" t="n">
        <f aca="false">'🤖 Claude Haiku 3.5'!F13</f>
        <v>3</v>
      </c>
      <c r="F13" s="129" t="n">
        <f aca="false">'🤖 Claude Haiku 3.5'!G13</f>
        <v>5</v>
      </c>
      <c r="G13" s="129" t="n">
        <f aca="false">'🤖 Claude Haiku 3.5'!H13</f>
        <v>5</v>
      </c>
      <c r="H13" s="129" t="n">
        <f aca="false">'🤖 Claude Haiku 3.5'!I13</f>
        <v>3</v>
      </c>
      <c r="I13" s="129" t="n">
        <f aca="false">'🤖 Claude Haiku 3.5'!J13</f>
        <v>5</v>
      </c>
    </row>
    <row r="14" customFormat="false" ht="15.75" hidden="false" customHeight="false" outlineLevel="0" collapsed="false">
      <c r="A14" s="128" t="str">
        <f aca="false">'🤖 Claude Haiku 3.5'!$A$12</f>
        <v>https://www.berria.eus/bizigiro/tradizioa-eta-abangoardia_2126379_102.html</v>
      </c>
      <c r="B14" s="4" t="str">
        <f aca="false">"Claude Sonnet 3.5"</f>
        <v>Claude Sonnet 3.5</v>
      </c>
      <c r="C14" s="129" t="str">
        <f aca="false">'🤖 Claude Haiku 3.5'!C14</f>
        <v>5W1H</v>
      </c>
      <c r="D14" s="138" t="n">
        <f aca="false">'🤖 Claude Haiku 3.5'!E14</f>
        <v>0.3578947368</v>
      </c>
      <c r="E14" s="129" t="n">
        <f aca="false">'🤖 Claude Haiku 3.5'!F14</f>
        <v>3</v>
      </c>
      <c r="F14" s="129" t="n">
        <f aca="false">'🤖 Claude Haiku 3.5'!G14</f>
        <v>5</v>
      </c>
      <c r="G14" s="129" t="n">
        <f aca="false">'🤖 Claude Haiku 3.5'!H14</f>
        <v>5</v>
      </c>
      <c r="H14" s="129" t="n">
        <f aca="false">'🤖 Claude Haiku 3.5'!I14</f>
        <v>2</v>
      </c>
      <c r="I14" s="129" t="n">
        <f aca="false">'🤖 Claude Haiku 3.5'!J14</f>
        <v>5</v>
      </c>
    </row>
    <row r="15" customFormat="false" ht="15.75" hidden="false" customHeight="false" outlineLevel="0" collapsed="false">
      <c r="A15" s="128" t="str">
        <f aca="false">'🤖 Claude Haiku 3.5'!$A$12</f>
        <v>https://www.berria.eus/bizigiro/tradizioa-eta-abangoardia_2126379_102.html</v>
      </c>
      <c r="B15" s="4" t="str">
        <f aca="false">"Claude Sonnet 3.5"</f>
        <v>Claude Sonnet 3.5</v>
      </c>
      <c r="C15" s="129" t="str">
        <f aca="false">'🤖 Claude Haiku 3.5'!C15</f>
        <v>tldr</v>
      </c>
      <c r="D15" s="139" t="n">
        <f aca="false">'🤖 Claude Haiku 3.5'!E15</f>
        <v>0.2815789474</v>
      </c>
      <c r="E15" s="129" t="n">
        <f aca="false">'🤖 Claude Haiku 3.5'!F15</f>
        <v>3</v>
      </c>
      <c r="F15" s="129" t="n">
        <f aca="false">'🤖 Claude Haiku 3.5'!G15</f>
        <v>5</v>
      </c>
      <c r="G15" s="129" t="n">
        <f aca="false">'🤖 Claude Haiku 3.5'!H15</f>
        <v>5</v>
      </c>
      <c r="H15" s="129" t="n">
        <f aca="false">'🤖 Claude Haiku 3.5'!I15</f>
        <v>4</v>
      </c>
      <c r="I15" s="129" t="n">
        <f aca="false">'🤖 Claude Haiku 3.5'!J15</f>
        <v>4</v>
      </c>
    </row>
    <row r="16" customFormat="false" ht="15.75" hidden="false" customHeight="false" outlineLevel="0" collapsed="false">
      <c r="A16" s="9"/>
      <c r="B16" s="9"/>
      <c r="C16" s="51"/>
      <c r="D16" s="9"/>
      <c r="E16" s="51"/>
      <c r="F16" s="51"/>
      <c r="G16" s="51"/>
      <c r="H16" s="51"/>
      <c r="I16" s="51"/>
    </row>
    <row r="17" customFormat="false" ht="15.75" hidden="false" customHeight="false" outlineLevel="0" collapsed="false">
      <c r="A17" s="128" t="str">
        <f aca="false">'🤖 Claude Haiku 3.5'!$A$17</f>
        <v>https://www.berria.eus/mundua/nbek-43-mila-milioi-euro-eskatu-ditu-datorren-urtean-laguntza-humanitarioa-bermatzeko_2117704_102.html</v>
      </c>
      <c r="B17" s="4" t="str">
        <f aca="false">"Claude Sonnet 3.5"</f>
        <v>Claude Sonnet 3.5</v>
      </c>
      <c r="C17" s="129" t="str">
        <f aca="false">'🤖 Claude Haiku 3.5'!C17</f>
        <v>Base</v>
      </c>
      <c r="D17" s="133" t="n">
        <f aca="false">'🤖 Claude Haiku 3.5'!E17</f>
        <v>0.3881118881</v>
      </c>
      <c r="E17" s="129" t="n">
        <f aca="false">'🤖 Claude Haiku 3.5'!F17</f>
        <v>3</v>
      </c>
      <c r="F17" s="129" t="n">
        <f aca="false">'🤖 Claude Haiku 3.5'!G17</f>
        <v>5</v>
      </c>
      <c r="G17" s="129" t="n">
        <f aca="false">'🤖 Claude Haiku 3.5'!H17</f>
        <v>1</v>
      </c>
      <c r="H17" s="129" t="n">
        <f aca="false">'🤖 Claude Haiku 3.5'!I17</f>
        <v>2</v>
      </c>
      <c r="I17" s="129" t="n">
        <f aca="false">'🤖 Claude Haiku 3.5'!J17</f>
        <v>5</v>
      </c>
    </row>
    <row r="18" customFormat="false" ht="15.75" hidden="false" customHeight="false" outlineLevel="0" collapsed="false">
      <c r="A18" s="128" t="str">
        <f aca="false">'🤖 Claude Haiku 3.5'!$A$17</f>
        <v>https://www.berria.eus/mundua/nbek-43-mila-milioi-euro-eskatu-ditu-datorren-urtean-laguntza-humanitarioa-bermatzeko_2117704_102.html</v>
      </c>
      <c r="B18" s="4" t="str">
        <f aca="false">"Claude Sonnet 3.5"</f>
        <v>Claude Sonnet 3.5</v>
      </c>
      <c r="C18" s="129" t="str">
        <f aca="false">'🤖 Claude Haiku 3.5'!C18</f>
        <v>CoT</v>
      </c>
      <c r="D18" s="140" t="n">
        <f aca="false">'🤖 Claude Haiku 3.5'!E18</f>
        <v>0.222027972</v>
      </c>
      <c r="E18" s="129" t="n">
        <f aca="false">'🤖 Claude Haiku 3.5'!F18</f>
        <v>5</v>
      </c>
      <c r="F18" s="129" t="n">
        <f aca="false">'🤖 Claude Haiku 3.5'!G18</f>
        <v>5</v>
      </c>
      <c r="G18" s="129" t="n">
        <f aca="false">'🤖 Claude Haiku 3.5'!H18</f>
        <v>4</v>
      </c>
      <c r="H18" s="129" t="n">
        <f aca="false">'🤖 Claude Haiku 3.5'!I18</f>
        <v>3</v>
      </c>
      <c r="I18" s="129" t="n">
        <f aca="false">'🤖 Claude Haiku 3.5'!J18</f>
        <v>5</v>
      </c>
    </row>
    <row r="19" customFormat="false" ht="15.75" hidden="false" customHeight="false" outlineLevel="0" collapsed="false">
      <c r="A19" s="128" t="str">
        <f aca="false">'🤖 Claude Haiku 3.5'!$A$17</f>
        <v>https://www.berria.eus/mundua/nbek-43-mila-milioi-euro-eskatu-ditu-datorren-urtean-laguntza-humanitarioa-bermatzeko_2117704_102.html</v>
      </c>
      <c r="B19" s="4" t="str">
        <f aca="false">"Claude Sonnet 3.5"</f>
        <v>Claude Sonnet 3.5</v>
      </c>
      <c r="C19" s="129" t="str">
        <f aca="false">'🤖 Claude Haiku 3.5'!C19</f>
        <v>5W1H</v>
      </c>
      <c r="D19" s="141" t="n">
        <f aca="false">'🤖 Claude Haiku 3.5'!E19</f>
        <v>0.2622377622</v>
      </c>
      <c r="E19" s="129" t="n">
        <f aca="false">'🤖 Claude Haiku 3.5'!F19</f>
        <v>3</v>
      </c>
      <c r="F19" s="129" t="n">
        <f aca="false">'🤖 Claude Haiku 3.5'!G19</f>
        <v>5</v>
      </c>
      <c r="G19" s="129" t="n">
        <f aca="false">'🤖 Claude Haiku 3.5'!H19</f>
        <v>4</v>
      </c>
      <c r="H19" s="129" t="n">
        <f aca="false">'🤖 Claude Haiku 3.5'!I19</f>
        <v>3</v>
      </c>
      <c r="I19" s="129" t="n">
        <f aca="false">'🤖 Claude Haiku 3.5'!J19</f>
        <v>5</v>
      </c>
    </row>
    <row r="20" customFormat="false" ht="15.75" hidden="false" customHeight="false" outlineLevel="0" collapsed="false">
      <c r="A20" s="128" t="str">
        <f aca="false">'🤖 Claude Haiku 3.5'!$A$17</f>
        <v>https://www.berria.eus/mundua/nbek-43-mila-milioi-euro-eskatu-ditu-datorren-urtean-laguntza-humanitarioa-bermatzeko_2117704_102.html</v>
      </c>
      <c r="B20" s="4" t="str">
        <f aca="false">"Claude Sonnet 3.5"</f>
        <v>Claude Sonnet 3.5</v>
      </c>
      <c r="C20" s="129" t="str">
        <f aca="false">'🤖 Claude Haiku 3.5'!C20</f>
        <v>tldr</v>
      </c>
      <c r="D20" s="135" t="n">
        <f aca="false">'🤖 Claude Haiku 3.5'!E20</f>
        <v>0.3339160839</v>
      </c>
      <c r="E20" s="129" t="n">
        <f aca="false">'🤖 Claude Haiku 3.5'!F20</f>
        <v>3</v>
      </c>
      <c r="F20" s="129" t="n">
        <f aca="false">'🤖 Claude Haiku 3.5'!G20</f>
        <v>5</v>
      </c>
      <c r="G20" s="129" t="n">
        <f aca="false">'🤖 Claude Haiku 3.5'!H20</f>
        <v>1</v>
      </c>
      <c r="H20" s="129" t="n">
        <f aca="false">'🤖 Claude Haiku 3.5'!I20</f>
        <v>3</v>
      </c>
      <c r="I20" s="129" t="n">
        <f aca="false">'🤖 Claude Haiku 3.5'!J20</f>
        <v>5</v>
      </c>
    </row>
    <row r="21" customFormat="false" ht="15.75" hidden="false" customHeight="false" outlineLevel="0" collapsed="false">
      <c r="A21" s="9"/>
      <c r="B21" s="9"/>
      <c r="C21" s="51"/>
      <c r="D21" s="9"/>
      <c r="E21" s="51"/>
      <c r="F21" s="51"/>
      <c r="G21" s="51"/>
      <c r="H21" s="51"/>
      <c r="I21" s="51"/>
    </row>
    <row r="22" customFormat="false" ht="15.75" hidden="false" customHeight="false" outlineLevel="0" collapsed="false">
      <c r="A22" s="128" t="str">
        <f aca="false">'🤖 Claude Haiku 3.5'!$A$22</f>
        <v>https://www.berria.eus/kultura/umeak-amari-eman-dio-bidea_2124508_102.html</v>
      </c>
      <c r="B22" s="4" t="str">
        <f aca="false">"Claude Sonnet 3.5"</f>
        <v>Claude Sonnet 3.5</v>
      </c>
      <c r="C22" s="129" t="str">
        <f aca="false">'🤖 Claude Haiku 3.5'!C22</f>
        <v>Base</v>
      </c>
      <c r="D22" s="138" t="n">
        <f aca="false">'🤖 Claude Haiku 3.5'!E22</f>
        <v>0.2150537634</v>
      </c>
      <c r="E22" s="129" t="n">
        <f aca="false">'🤖 Claude Haiku 3.5'!F22</f>
        <v>2</v>
      </c>
      <c r="F22" s="129" t="n">
        <f aca="false">'🤖 Claude Haiku 3.5'!G22</f>
        <v>3</v>
      </c>
      <c r="G22" s="129" t="n">
        <f aca="false">'🤖 Claude Haiku 3.5'!H22</f>
        <v>5</v>
      </c>
      <c r="H22" s="129" t="n">
        <f aca="false">'🤖 Claude Haiku 3.5'!I22</f>
        <v>4</v>
      </c>
      <c r="I22" s="129" t="n">
        <f aca="false">'🤖 Claude Haiku 3.5'!J22</f>
        <v>5</v>
      </c>
    </row>
    <row r="23" customFormat="false" ht="15.75" hidden="false" customHeight="false" outlineLevel="0" collapsed="false">
      <c r="A23" s="128" t="str">
        <f aca="false">'🤖 Claude Haiku 3.5'!$A$22</f>
        <v>https://www.berria.eus/kultura/umeak-amari-eman-dio-bidea_2124508_102.html</v>
      </c>
      <c r="B23" s="4" t="str">
        <f aca="false">"Claude Sonnet 3.5"</f>
        <v>Claude Sonnet 3.5</v>
      </c>
      <c r="C23" s="129" t="str">
        <f aca="false">'🤖 Claude Haiku 3.5'!C23</f>
        <v>CoT</v>
      </c>
      <c r="D23" s="142" t="n">
        <f aca="false">'🤖 Claude Haiku 3.5'!E23</f>
        <v>0.1935483871</v>
      </c>
      <c r="E23" s="129" t="n">
        <f aca="false">'🤖 Claude Haiku 3.5'!F23</f>
        <v>3</v>
      </c>
      <c r="F23" s="129" t="n">
        <f aca="false">'🤖 Claude Haiku 3.5'!G23</f>
        <v>4</v>
      </c>
      <c r="G23" s="129" t="n">
        <f aca="false">'🤖 Claude Haiku 3.5'!H23</f>
        <v>3</v>
      </c>
      <c r="H23" s="129" t="n">
        <f aca="false">'🤖 Claude Haiku 3.5'!I23</f>
        <v>3</v>
      </c>
      <c r="I23" s="129" t="n">
        <f aca="false">'🤖 Claude Haiku 3.5'!J23</f>
        <v>3</v>
      </c>
    </row>
    <row r="24" customFormat="false" ht="15.75" hidden="false" customHeight="false" outlineLevel="0" collapsed="false">
      <c r="A24" s="128" t="str">
        <f aca="false">'🤖 Claude Haiku 3.5'!$A$22</f>
        <v>https://www.berria.eus/kultura/umeak-amari-eman-dio-bidea_2124508_102.html</v>
      </c>
      <c r="B24" s="4" t="str">
        <f aca="false">"Claude Sonnet 3.5"</f>
        <v>Claude Sonnet 3.5</v>
      </c>
      <c r="C24" s="129" t="str">
        <f aca="false">'🤖 Claude Haiku 3.5'!C24</f>
        <v>5W1H</v>
      </c>
      <c r="D24" s="136" t="n">
        <f aca="false">'🤖 Claude Haiku 3.5'!E24</f>
        <v>0.2007168459</v>
      </c>
      <c r="E24" s="129" t="n">
        <f aca="false">'🤖 Claude Haiku 3.5'!F24</f>
        <v>2</v>
      </c>
      <c r="F24" s="129" t="n">
        <f aca="false">'🤖 Claude Haiku 3.5'!G24</f>
        <v>2</v>
      </c>
      <c r="G24" s="129" t="n">
        <f aca="false">'🤖 Claude Haiku 3.5'!H24</f>
        <v>3</v>
      </c>
      <c r="H24" s="129" t="n">
        <f aca="false">'🤖 Claude Haiku 3.5'!I24</f>
        <v>3</v>
      </c>
      <c r="I24" s="129" t="n">
        <f aca="false">'🤖 Claude Haiku 3.5'!J24</f>
        <v>5</v>
      </c>
    </row>
    <row r="25" customFormat="false" ht="15.75" hidden="false" customHeight="false" outlineLevel="0" collapsed="false">
      <c r="A25" s="128" t="str">
        <f aca="false">'🤖 Claude Haiku 3.5'!$A$22</f>
        <v>https://www.berria.eus/kultura/umeak-amari-eman-dio-bidea_2124508_102.html</v>
      </c>
      <c r="B25" s="4" t="str">
        <f aca="false">"Claude Sonnet 3.5"</f>
        <v>Claude Sonnet 3.5</v>
      </c>
      <c r="C25" s="129" t="str">
        <f aca="false">'🤖 Claude Haiku 3.5'!C25</f>
        <v>tldr</v>
      </c>
      <c r="D25" s="143" t="n">
        <f aca="false">'🤖 Claude Haiku 3.5'!E25</f>
        <v>0.188172043</v>
      </c>
      <c r="E25" s="129" t="n">
        <f aca="false">'🤖 Claude Haiku 3.5'!F25</f>
        <v>2</v>
      </c>
      <c r="F25" s="129" t="n">
        <f aca="false">'🤖 Claude Haiku 3.5'!G25</f>
        <v>3</v>
      </c>
      <c r="G25" s="129" t="n">
        <f aca="false">'🤖 Claude Haiku 3.5'!H25</f>
        <v>5</v>
      </c>
      <c r="H25" s="129" t="n">
        <f aca="false">'🤖 Claude Haiku 3.5'!I25</f>
        <v>4</v>
      </c>
      <c r="I25" s="129" t="n">
        <f aca="false">'🤖 Claude Haiku 3.5'!J25</f>
        <v>5</v>
      </c>
    </row>
    <row r="26" customFormat="false" ht="15.75" hidden="false" customHeight="false" outlineLevel="0" collapsed="false">
      <c r="A26" s="9"/>
      <c r="B26" s="9"/>
      <c r="C26" s="51"/>
      <c r="D26" s="9"/>
      <c r="E26" s="51"/>
      <c r="F26" s="51"/>
      <c r="G26" s="51"/>
      <c r="H26" s="51"/>
      <c r="I26" s="51"/>
    </row>
    <row r="27" customFormat="false" ht="15.75" hidden="false" customHeight="false" outlineLevel="0" collapsed="false">
      <c r="A27" s="128" t="str">
        <f aca="false">'🤖 Claude Haiku 3.5'!$A$27</f>
        <v>https://www.berria.eus/euskal-herria/pintaketa-faxistak-egin-dituzte-irunean_2124262_102.html</v>
      </c>
      <c r="B27" s="4" t="str">
        <f aca="false">"Claude Sonnet 3.5"</f>
        <v>Claude Sonnet 3.5</v>
      </c>
      <c r="C27" s="129" t="str">
        <f aca="false">'🤖 Claude Haiku 3.5'!C27</f>
        <v>Base</v>
      </c>
      <c r="D27" s="144" t="n">
        <f aca="false">'🤖 Claude Haiku 3.5'!E27</f>
        <v>1.211678832</v>
      </c>
      <c r="E27" s="129" t="n">
        <f aca="false">'🤖 Claude Haiku 3.5'!F27</f>
        <v>4</v>
      </c>
      <c r="F27" s="129" t="n">
        <f aca="false">'🤖 Claude Haiku 3.5'!G27</f>
        <v>5</v>
      </c>
      <c r="G27" s="129" t="n">
        <f aca="false">'🤖 Claude Haiku 3.5'!H27</f>
        <v>1</v>
      </c>
      <c r="H27" s="129" t="n">
        <f aca="false">'🤖 Claude Haiku 3.5'!I27</f>
        <v>2</v>
      </c>
      <c r="I27" s="129" t="n">
        <f aca="false">'🤖 Claude Haiku 3.5'!J27</f>
        <v>5</v>
      </c>
    </row>
    <row r="28" customFormat="false" ht="15.75" hidden="false" customHeight="false" outlineLevel="0" collapsed="false">
      <c r="A28" s="128" t="str">
        <f aca="false">'🤖 Claude Haiku 3.5'!$A$27</f>
        <v>https://www.berria.eus/euskal-herria/pintaketa-faxistak-egin-dituzte-irunean_2124262_102.html</v>
      </c>
      <c r="B28" s="4" t="str">
        <f aca="false">"Claude Sonnet 3.5"</f>
        <v>Claude Sonnet 3.5</v>
      </c>
      <c r="C28" s="129" t="str">
        <f aca="false">'🤖 Claude Haiku 3.5'!C28</f>
        <v>CoT</v>
      </c>
      <c r="D28" s="140" t="n">
        <f aca="false">'🤖 Claude Haiku 3.5'!E28</f>
        <v>0.6423357664</v>
      </c>
      <c r="E28" s="129" t="n">
        <f aca="false">'🤖 Claude Haiku 3.5'!F28</f>
        <v>3</v>
      </c>
      <c r="F28" s="129" t="n">
        <f aca="false">'🤖 Claude Haiku 3.5'!G28</f>
        <v>5</v>
      </c>
      <c r="G28" s="129" t="n">
        <f aca="false">'🤖 Claude Haiku 3.5'!H28</f>
        <v>5</v>
      </c>
      <c r="H28" s="129" t="n">
        <f aca="false">'🤖 Claude Haiku 3.5'!I28</f>
        <v>3</v>
      </c>
      <c r="I28" s="129" t="n">
        <f aca="false">'🤖 Claude Haiku 3.5'!J28</f>
        <v>3</v>
      </c>
    </row>
    <row r="29" customFormat="false" ht="15.75" hidden="false" customHeight="false" outlineLevel="0" collapsed="false">
      <c r="A29" s="128" t="str">
        <f aca="false">'🤖 Claude Haiku 3.5'!$A$27</f>
        <v>https://www.berria.eus/euskal-herria/pintaketa-faxistak-egin-dituzte-irunean_2124262_102.html</v>
      </c>
      <c r="B29" s="4" t="str">
        <f aca="false">"Claude Sonnet 3.5"</f>
        <v>Claude Sonnet 3.5</v>
      </c>
      <c r="C29" s="129" t="str">
        <f aca="false">'🤖 Claude Haiku 3.5'!C29</f>
        <v>5W1H</v>
      </c>
      <c r="D29" s="144" t="n">
        <f aca="false">'🤖 Claude Haiku 3.5'!E29</f>
        <v>0.7445255474</v>
      </c>
      <c r="E29" s="129" t="n">
        <f aca="false">'🤖 Claude Haiku 3.5'!F29</f>
        <v>3</v>
      </c>
      <c r="F29" s="129" t="n">
        <f aca="false">'🤖 Claude Haiku 3.5'!G29</f>
        <v>3</v>
      </c>
      <c r="G29" s="129" t="n">
        <f aca="false">'🤖 Claude Haiku 3.5'!H29</f>
        <v>5</v>
      </c>
      <c r="H29" s="129" t="n">
        <f aca="false">'🤖 Claude Haiku 3.5'!I29</f>
        <v>3</v>
      </c>
      <c r="I29" s="129" t="n">
        <f aca="false">'🤖 Claude Haiku 3.5'!J29</f>
        <v>5</v>
      </c>
    </row>
    <row r="30" customFormat="false" ht="15.75" hidden="false" customHeight="false" outlineLevel="0" collapsed="false">
      <c r="A30" s="128" t="str">
        <f aca="false">'🤖 Claude Haiku 3.5'!$A$27</f>
        <v>https://www.berria.eus/euskal-herria/pintaketa-faxistak-egin-dituzte-irunean_2124262_102.html</v>
      </c>
      <c r="B30" s="4" t="str">
        <f aca="false">"Claude Sonnet 3.5"</f>
        <v>Claude Sonnet 3.5</v>
      </c>
      <c r="C30" s="129" t="str">
        <f aca="false">'🤖 Claude Haiku 3.5'!C30</f>
        <v>tldr</v>
      </c>
      <c r="D30" s="134" t="n">
        <f aca="false">'🤖 Claude Haiku 3.5'!E30</f>
        <v>0.9781021898</v>
      </c>
      <c r="E30" s="129" t="n">
        <f aca="false">'🤖 Claude Haiku 3.5'!F30</f>
        <v>4</v>
      </c>
      <c r="F30" s="129" t="n">
        <f aca="false">'🤖 Claude Haiku 3.5'!G30</f>
        <v>5</v>
      </c>
      <c r="G30" s="129" t="n">
        <f aca="false">'🤖 Claude Haiku 3.5'!H30</f>
        <v>1</v>
      </c>
      <c r="H30" s="129" t="n">
        <f aca="false">'🤖 Claude Haiku 3.5'!I30</f>
        <v>2</v>
      </c>
      <c r="I30" s="129" t="n">
        <f aca="false">'🤖 Claude Haiku 3.5'!J30</f>
        <v>5</v>
      </c>
    </row>
    <row r="31" customFormat="false" ht="15.75" hidden="false" customHeight="false" outlineLevel="0" collapsed="false">
      <c r="A31" s="9"/>
      <c r="B31" s="9"/>
      <c r="C31" s="51"/>
      <c r="D31" s="9"/>
      <c r="E31" s="51"/>
      <c r="F31" s="51"/>
      <c r="G31" s="51"/>
      <c r="H31" s="51"/>
      <c r="I31" s="51"/>
    </row>
    <row r="32" customFormat="false" ht="15.75" hidden="false" customHeight="false" outlineLevel="0" collapsed="false">
      <c r="A32" s="128" t="str">
        <f aca="false">'🤖 Claude Haiku 3.5'!$A$32</f>
        <v>https://www.berria.eus/ekonomia/eolikoen-arlorako-laguntzetan-orain-halako-bi-jarriko-du-ebk-1400-milioi_1343992_102.html</v>
      </c>
      <c r="B32" s="4" t="str">
        <f aca="false">"Claude Sonnet 3.5"</f>
        <v>Claude Sonnet 3.5</v>
      </c>
      <c r="C32" s="129" t="str">
        <f aca="false">'🤖 Claude Haiku 3.5'!C32</f>
        <v>Base</v>
      </c>
      <c r="D32" s="145" t="n">
        <f aca="false">'🤖 Claude Haiku 3.5'!E32</f>
        <v>0.5773420479</v>
      </c>
      <c r="E32" s="129" t="n">
        <f aca="false">'🤖 Claude Haiku 3.5'!F32</f>
        <v>3</v>
      </c>
      <c r="F32" s="129" t="n">
        <f aca="false">'🤖 Claude Haiku 3.5'!G32</f>
        <v>5</v>
      </c>
      <c r="G32" s="129" t="n">
        <f aca="false">'🤖 Claude Haiku 3.5'!H32</f>
        <v>1</v>
      </c>
      <c r="H32" s="129" t="n">
        <f aca="false">'🤖 Claude Haiku 3.5'!I32</f>
        <v>2</v>
      </c>
      <c r="I32" s="129" t="n">
        <f aca="false">'🤖 Claude Haiku 3.5'!J32</f>
        <v>5</v>
      </c>
    </row>
    <row r="33" customFormat="false" ht="15.75" hidden="false" customHeight="false" outlineLevel="0" collapsed="false">
      <c r="A33" s="128" t="str">
        <f aca="false">'🤖 Claude Haiku 3.5'!$A$32</f>
        <v>https://www.berria.eus/ekonomia/eolikoen-arlorako-laguntzetan-orain-halako-bi-jarriko-du-ebk-1400-milioi_1343992_102.html</v>
      </c>
      <c r="B33" s="4" t="str">
        <f aca="false">"Claude Sonnet 3.5"</f>
        <v>Claude Sonnet 3.5</v>
      </c>
      <c r="C33" s="129" t="str">
        <f aca="false">'🤖 Claude Haiku 3.5'!C33</f>
        <v>CoT</v>
      </c>
      <c r="D33" s="146" t="n">
        <f aca="false">'🤖 Claude Haiku 3.5'!E33</f>
        <v>0.2919389978</v>
      </c>
      <c r="E33" s="129" t="n">
        <f aca="false">'🤖 Claude Haiku 3.5'!F33</f>
        <v>3</v>
      </c>
      <c r="F33" s="129" t="n">
        <f aca="false">'🤖 Claude Haiku 3.5'!G33</f>
        <v>4</v>
      </c>
      <c r="G33" s="129" t="n">
        <f aca="false">'🤖 Claude Haiku 3.5'!H33</f>
        <v>4</v>
      </c>
      <c r="H33" s="129" t="n">
        <f aca="false">'🤖 Claude Haiku 3.5'!I33</f>
        <v>3</v>
      </c>
      <c r="I33" s="129" t="n">
        <f aca="false">'🤖 Claude Haiku 3.5'!J33</f>
        <v>5</v>
      </c>
    </row>
    <row r="34" customFormat="false" ht="15.75" hidden="false" customHeight="false" outlineLevel="0" collapsed="false">
      <c r="A34" s="128" t="str">
        <f aca="false">'🤖 Claude Haiku 3.5'!$A$32</f>
        <v>https://www.berria.eus/ekonomia/eolikoen-arlorako-laguntzetan-orain-halako-bi-jarriko-du-ebk-1400-milioi_1343992_102.html</v>
      </c>
      <c r="B34" s="4" t="str">
        <f aca="false">"Claude Sonnet 3.5"</f>
        <v>Claude Sonnet 3.5</v>
      </c>
      <c r="C34" s="129" t="str">
        <f aca="false">'🤖 Claude Haiku 3.5'!C34</f>
        <v>5W1H</v>
      </c>
      <c r="D34" s="147" t="n">
        <f aca="false">'🤖 Claude Haiku 3.5'!E34</f>
        <v>0.4335511983</v>
      </c>
      <c r="E34" s="129" t="n">
        <f aca="false">'🤖 Claude Haiku 3.5'!F34</f>
        <v>3</v>
      </c>
      <c r="F34" s="129" t="n">
        <f aca="false">'🤖 Claude Haiku 3.5'!G34</f>
        <v>4</v>
      </c>
      <c r="G34" s="129" t="n">
        <f aca="false">'🤖 Claude Haiku 3.5'!H34</f>
        <v>5</v>
      </c>
      <c r="H34" s="129" t="n">
        <f aca="false">'🤖 Claude Haiku 3.5'!I34</f>
        <v>2</v>
      </c>
      <c r="I34" s="129" t="n">
        <f aca="false">'🤖 Claude Haiku 3.5'!J34</f>
        <v>3</v>
      </c>
    </row>
    <row r="35" customFormat="false" ht="15.75" hidden="false" customHeight="false" outlineLevel="0" collapsed="false">
      <c r="A35" s="128" t="str">
        <f aca="false">'🤖 Claude Haiku 3.5'!$A$32</f>
        <v>https://www.berria.eus/ekonomia/eolikoen-arlorako-laguntzetan-orain-halako-bi-jarriko-du-ebk-1400-milioi_1343992_102.html</v>
      </c>
      <c r="B35" s="4" t="str">
        <f aca="false">"Claude Sonnet 3.5"</f>
        <v>Claude Sonnet 3.5</v>
      </c>
      <c r="C35" s="129" t="str">
        <f aca="false">'🤖 Claude Haiku 3.5'!C35</f>
        <v>tldr</v>
      </c>
      <c r="D35" s="148" t="n">
        <f aca="false">'🤖 Claude Haiku 3.5'!E35</f>
        <v>0.211328976</v>
      </c>
      <c r="E35" s="129" t="n">
        <f aca="false">'🤖 Claude Haiku 3.5'!F35</f>
        <v>3</v>
      </c>
      <c r="F35" s="129" t="n">
        <f aca="false">'🤖 Claude Haiku 3.5'!G35</f>
        <v>5</v>
      </c>
      <c r="G35" s="129" t="n">
        <f aca="false">'🤖 Claude Haiku 3.5'!H35</f>
        <v>5</v>
      </c>
      <c r="H35" s="129" t="n">
        <f aca="false">'🤖 Claude Haiku 3.5'!I35</f>
        <v>3</v>
      </c>
      <c r="I35" s="129" t="n">
        <f aca="false">'🤖 Claude Haiku 3.5'!J35</f>
        <v>3</v>
      </c>
    </row>
    <row r="36" customFormat="false" ht="15.75" hidden="false" customHeight="false" outlineLevel="0" collapsed="false">
      <c r="A36" s="9"/>
      <c r="B36" s="9"/>
      <c r="C36" s="51"/>
      <c r="D36" s="9"/>
      <c r="E36" s="51"/>
      <c r="F36" s="51"/>
      <c r="G36" s="51"/>
      <c r="H36" s="51"/>
      <c r="I36" s="51"/>
    </row>
    <row r="37" customFormat="false" ht="15.75" hidden="false" customHeight="false" outlineLevel="0" collapsed="false">
      <c r="A37" s="128" t="str">
        <f aca="false">'🤖 Claude Haiku 3.5'!$A$37</f>
        <v>https://www.berria.eus/kultura/itsasun-egingo-dute-irailekoak-poesia-jaialdia-aurten_2125293_102.html</v>
      </c>
      <c r="B37" s="4" t="str">
        <f aca="false">"Claude Sonnet 3.5"</f>
        <v>Claude Sonnet 3.5</v>
      </c>
      <c r="C37" s="129" t="str">
        <f aca="false">'🤖 Claude Haiku 3.5'!C37</f>
        <v>Base</v>
      </c>
      <c r="D37" s="149" t="n">
        <f aca="false">'🤖 Claude Haiku 3.5'!E37</f>
        <v>1.49068323</v>
      </c>
      <c r="E37" s="129" t="n">
        <f aca="false">'🤖 Claude Haiku 3.5'!F37</f>
        <v>4</v>
      </c>
      <c r="F37" s="129" t="n">
        <f aca="false">'🤖 Claude Haiku 3.5'!G37</f>
        <v>5</v>
      </c>
      <c r="G37" s="129" t="n">
        <f aca="false">'🤖 Claude Haiku 3.5'!H37</f>
        <v>1</v>
      </c>
      <c r="H37" s="129" t="n">
        <f aca="false">'🤖 Claude Haiku 3.5'!I37</f>
        <v>1</v>
      </c>
      <c r="I37" s="129" t="n">
        <f aca="false">'🤖 Claude Haiku 3.5'!J37</f>
        <v>5</v>
      </c>
    </row>
    <row r="38" customFormat="false" ht="15.75" hidden="false" customHeight="false" outlineLevel="0" collapsed="false">
      <c r="A38" s="128" t="str">
        <f aca="false">'🤖 Claude Haiku 3.5'!$A$37</f>
        <v>https://www.berria.eus/kultura/itsasun-egingo-dute-irailekoak-poesia-jaialdia-aurten_2125293_102.html</v>
      </c>
      <c r="B38" s="4" t="str">
        <f aca="false">"Claude Sonnet 3.5"</f>
        <v>Claude Sonnet 3.5</v>
      </c>
      <c r="C38" s="129" t="str">
        <f aca="false">'🤖 Claude Haiku 3.5'!C38</f>
        <v>CoT</v>
      </c>
      <c r="D38" s="149" t="n">
        <f aca="false">'🤖 Claude Haiku 3.5'!E38</f>
        <v>0.5962732919</v>
      </c>
      <c r="E38" s="129" t="n">
        <f aca="false">'🤖 Claude Haiku 3.5'!F38</f>
        <v>3</v>
      </c>
      <c r="F38" s="129" t="n">
        <f aca="false">'🤖 Claude Haiku 3.5'!G38</f>
        <v>3</v>
      </c>
      <c r="G38" s="129" t="n">
        <f aca="false">'🤖 Claude Haiku 3.5'!H38</f>
        <v>5</v>
      </c>
      <c r="H38" s="129" t="n">
        <f aca="false">'🤖 Claude Haiku 3.5'!I38</f>
        <v>3</v>
      </c>
      <c r="I38" s="129" t="n">
        <f aca="false">'🤖 Claude Haiku 3.5'!J38</f>
        <v>5</v>
      </c>
    </row>
    <row r="39" customFormat="false" ht="15.75" hidden="false" customHeight="false" outlineLevel="0" collapsed="false">
      <c r="A39" s="128" t="str">
        <f aca="false">'🤖 Claude Haiku 3.5'!$A$37</f>
        <v>https://www.berria.eus/kultura/itsasun-egingo-dute-irailekoak-poesia-jaialdia-aurten_2125293_102.html</v>
      </c>
      <c r="B39" s="4" t="str">
        <f aca="false">"Claude Sonnet 3.5"</f>
        <v>Claude Sonnet 3.5</v>
      </c>
      <c r="C39" s="129" t="str">
        <f aca="false">'🤖 Claude Haiku 3.5'!C39</f>
        <v>5W1H</v>
      </c>
      <c r="D39" s="135" t="n">
        <f aca="false">'🤖 Claude Haiku 3.5'!E39</f>
        <v>0.5838509317</v>
      </c>
      <c r="E39" s="129" t="n">
        <f aca="false">'🤖 Claude Haiku 3.5'!F39</f>
        <v>3</v>
      </c>
      <c r="F39" s="129" t="n">
        <f aca="false">'🤖 Claude Haiku 3.5'!G39</f>
        <v>3</v>
      </c>
      <c r="G39" s="129" t="n">
        <f aca="false">'🤖 Claude Haiku 3.5'!H39</f>
        <v>5</v>
      </c>
      <c r="H39" s="129" t="n">
        <f aca="false">'🤖 Claude Haiku 3.5'!I39</f>
        <v>3</v>
      </c>
      <c r="I39" s="129" t="n">
        <f aca="false">'🤖 Claude Haiku 3.5'!J39</f>
        <v>5</v>
      </c>
    </row>
    <row r="40" customFormat="false" ht="15.75" hidden="false" customHeight="false" outlineLevel="0" collapsed="false">
      <c r="A40" s="128" t="str">
        <f aca="false">'🤖 Claude Haiku 3.5'!$A$37</f>
        <v>https://www.berria.eus/kultura/itsasun-egingo-dute-irailekoak-poesia-jaialdia-aurten_2125293_102.html</v>
      </c>
      <c r="B40" s="4" t="str">
        <f aca="false">"Claude Sonnet 3.5"</f>
        <v>Claude Sonnet 3.5</v>
      </c>
      <c r="C40" s="129" t="str">
        <f aca="false">'🤖 Claude Haiku 3.5'!C40</f>
        <v>tldr</v>
      </c>
      <c r="D40" s="150" t="n">
        <f aca="false">'🤖 Claude Haiku 3.5'!E40</f>
        <v>0.6149068323</v>
      </c>
      <c r="E40" s="129" t="n">
        <f aca="false">'🤖 Claude Haiku 3.5'!F40</f>
        <v>4</v>
      </c>
      <c r="F40" s="129" t="n">
        <f aca="false">'🤖 Claude Haiku 3.5'!G40</f>
        <v>5</v>
      </c>
      <c r="G40" s="129" t="n">
        <f aca="false">'🤖 Claude Haiku 3.5'!H40</f>
        <v>5</v>
      </c>
      <c r="H40" s="129" t="n">
        <f aca="false">'🤖 Claude Haiku 3.5'!I40</f>
        <v>3</v>
      </c>
      <c r="I40" s="129" t="n">
        <f aca="false">'🤖 Claude Haiku 3.5'!J40</f>
        <v>5</v>
      </c>
    </row>
    <row r="41" customFormat="false" ht="15.75" hidden="false" customHeight="false" outlineLevel="0" collapsed="false">
      <c r="A41" s="9"/>
      <c r="B41" s="9"/>
      <c r="C41" s="51"/>
      <c r="D41" s="9"/>
      <c r="E41" s="51"/>
      <c r="F41" s="51"/>
      <c r="G41" s="51"/>
      <c r="H41" s="51"/>
      <c r="I41" s="51"/>
    </row>
    <row r="42" customFormat="false" ht="15.75" hidden="false" customHeight="false" outlineLevel="0" collapsed="false">
      <c r="A42" s="128" t="str">
        <f aca="false">'🤖 Claude Haiku 3.5'!$A$42</f>
        <v>https://www.berria.eus/kultura/nolabaiteko-kontrarreforma-bat-gertatzen-ari-da-eta-horren-aurrean-elkartu-beharra-daukagu_2124481_102.html</v>
      </c>
      <c r="B42" s="4" t="str">
        <f aca="false">"Claude Sonnet 3.5"</f>
        <v>Claude Sonnet 3.5</v>
      </c>
      <c r="C42" s="129" t="str">
        <f aca="false">'🤖 Claude Haiku 3.5'!C42</f>
        <v>Base</v>
      </c>
      <c r="D42" s="151" t="n">
        <f aca="false">'🤖 Claude Haiku 3.5'!E42</f>
        <v>0.1669316375</v>
      </c>
      <c r="E42" s="129" t="n">
        <f aca="false">'🤖 Claude Haiku 3.5'!F42</f>
        <v>3</v>
      </c>
      <c r="F42" s="129" t="n">
        <f aca="false">'🤖 Claude Haiku 3.5'!G42</f>
        <v>5</v>
      </c>
      <c r="G42" s="129" t="n">
        <f aca="false">'🤖 Claude Haiku 3.5'!H42</f>
        <v>5</v>
      </c>
      <c r="H42" s="129" t="n">
        <f aca="false">'🤖 Claude Haiku 3.5'!I42</f>
        <v>5</v>
      </c>
      <c r="I42" s="129" t="n">
        <f aca="false">'🤖 Claude Haiku 3.5'!J42</f>
        <v>5</v>
      </c>
    </row>
    <row r="43" customFormat="false" ht="15.75" hidden="false" customHeight="false" outlineLevel="0" collapsed="false">
      <c r="A43" s="128" t="str">
        <f aca="false">'🤖 Claude Haiku 3.5'!$A$42</f>
        <v>https://www.berria.eus/kultura/nolabaiteko-kontrarreforma-bat-gertatzen-ari-da-eta-horren-aurrean-elkartu-beharra-daukagu_2124481_102.html</v>
      </c>
      <c r="B43" s="4" t="str">
        <f aca="false">"Claude Sonnet 3.5"</f>
        <v>Claude Sonnet 3.5</v>
      </c>
      <c r="C43" s="129" t="str">
        <f aca="false">'🤖 Claude Haiku 3.5'!C43</f>
        <v>CoT</v>
      </c>
      <c r="D43" s="151" t="n">
        <f aca="false">'🤖 Claude Haiku 3.5'!E43</f>
        <v>0.1780604134</v>
      </c>
      <c r="E43" s="129" t="n">
        <f aca="false">'🤖 Claude Haiku 3.5'!F43</f>
        <v>3</v>
      </c>
      <c r="F43" s="129" t="n">
        <f aca="false">'🤖 Claude Haiku 3.5'!G43</f>
        <v>5</v>
      </c>
      <c r="G43" s="129" t="n">
        <f aca="false">'🤖 Claude Haiku 3.5'!H43</f>
        <v>4</v>
      </c>
      <c r="H43" s="129" t="n">
        <f aca="false">'🤖 Claude Haiku 3.5'!I43</f>
        <v>3</v>
      </c>
      <c r="I43" s="129" t="n">
        <f aca="false">'🤖 Claude Haiku 3.5'!J43</f>
        <v>5</v>
      </c>
    </row>
    <row r="44" customFormat="false" ht="15.75" hidden="false" customHeight="false" outlineLevel="0" collapsed="false">
      <c r="A44" s="128" t="str">
        <f aca="false">'🤖 Claude Haiku 3.5'!$A$42</f>
        <v>https://www.berria.eus/kultura/nolabaiteko-kontrarreforma-bat-gertatzen-ari-da-eta-horren-aurrean-elkartu-beharra-daukagu_2124481_102.html</v>
      </c>
      <c r="B44" s="4" t="str">
        <f aca="false">"Claude Sonnet 3.5"</f>
        <v>Claude Sonnet 3.5</v>
      </c>
      <c r="C44" s="129" t="str">
        <f aca="false">'🤖 Claude Haiku 3.5'!C44</f>
        <v>5W1H</v>
      </c>
      <c r="D44" s="130" t="n">
        <f aca="false">'🤖 Claude Haiku 3.5'!E44</f>
        <v>0.1987281399</v>
      </c>
      <c r="E44" s="129" t="n">
        <f aca="false">'🤖 Claude Haiku 3.5'!F44</f>
        <v>3</v>
      </c>
      <c r="F44" s="129" t="n">
        <f aca="false">'🤖 Claude Haiku 3.5'!G44</f>
        <v>5</v>
      </c>
      <c r="G44" s="129" t="n">
        <f aca="false">'🤖 Claude Haiku 3.5'!H44</f>
        <v>4</v>
      </c>
      <c r="H44" s="129" t="n">
        <f aca="false">'🤖 Claude Haiku 3.5'!I44</f>
        <v>4</v>
      </c>
      <c r="I44" s="129" t="n">
        <f aca="false">'🤖 Claude Haiku 3.5'!J44</f>
        <v>5</v>
      </c>
    </row>
    <row r="45" customFormat="false" ht="15.75" hidden="false" customHeight="false" outlineLevel="0" collapsed="false">
      <c r="A45" s="128" t="str">
        <f aca="false">'🤖 Claude Haiku 3.5'!$A$42</f>
        <v>https://www.berria.eus/kultura/nolabaiteko-kontrarreforma-bat-gertatzen-ari-da-eta-horren-aurrean-elkartu-beharra-daukagu_2124481_102.html</v>
      </c>
      <c r="B45" s="4" t="str">
        <f aca="false">"Claude Sonnet 3.5"</f>
        <v>Claude Sonnet 3.5</v>
      </c>
      <c r="C45" s="129" t="str">
        <f aca="false">'🤖 Claude Haiku 3.5'!C45</f>
        <v>tldr</v>
      </c>
      <c r="D45" s="134" t="n">
        <f aca="false">'🤖 Claude Haiku 3.5'!E45</f>
        <v>0.3290937997</v>
      </c>
      <c r="E45" s="129" t="n">
        <f aca="false">'🤖 Claude Haiku 3.5'!F45</f>
        <v>3</v>
      </c>
      <c r="F45" s="129" t="n">
        <f aca="false">'🤖 Claude Haiku 3.5'!G45</f>
        <v>5</v>
      </c>
      <c r="G45" s="129" t="n">
        <f aca="false">'🤖 Claude Haiku 3.5'!H45</f>
        <v>1</v>
      </c>
      <c r="H45" s="129" t="n">
        <f aca="false">'🤖 Claude Haiku 3.5'!I45</f>
        <v>4</v>
      </c>
      <c r="I45" s="129" t="n">
        <f aca="false">'🤖 Claude Haiku 3.5'!J45</f>
        <v>5</v>
      </c>
    </row>
    <row r="46" customFormat="false" ht="15.75" hidden="false" customHeight="false" outlineLevel="0" collapsed="false">
      <c r="A46" s="9"/>
      <c r="B46" s="9"/>
      <c r="C46" s="51"/>
      <c r="D46" s="9"/>
      <c r="E46" s="51"/>
      <c r="F46" s="51"/>
      <c r="G46" s="51"/>
      <c r="H46" s="51"/>
      <c r="I46" s="51"/>
    </row>
    <row r="47" customFormat="false" ht="15.75" hidden="false" customHeight="false" outlineLevel="0" collapsed="false">
      <c r="A47" s="128" t="str">
        <f aca="false">'🤖 Claude Haiku 3.5'!$A$47</f>
        <v>https://www.berria.eus/euskal-herria/ortuzarrek-dio-eajk-euskadiko-estatus-berriari-bultzada-eman-nahi-diola_2124257_102.html</v>
      </c>
      <c r="B47" s="4" t="str">
        <f aca="false">"Claude Sonnet 3.5"</f>
        <v>Claude Sonnet 3.5</v>
      </c>
      <c r="C47" s="129" t="str">
        <f aca="false">'🤖 Claude Haiku 3.5'!C47</f>
        <v>Base</v>
      </c>
      <c r="D47" s="136" t="n">
        <f aca="false">'🤖 Claude Haiku 3.5'!E47</f>
        <v>0.3859315589</v>
      </c>
      <c r="E47" s="129" t="n">
        <f aca="false">'🤖 Claude Haiku 3.5'!F47</f>
        <v>3</v>
      </c>
      <c r="F47" s="129" t="n">
        <f aca="false">'🤖 Claude Haiku 3.5'!G47</f>
        <v>5</v>
      </c>
      <c r="G47" s="129" t="n">
        <f aca="false">'🤖 Claude Haiku 3.5'!H47</f>
        <v>1</v>
      </c>
      <c r="H47" s="129" t="n">
        <f aca="false">'🤖 Claude Haiku 3.5'!I47</f>
        <v>2</v>
      </c>
      <c r="I47" s="129" t="n">
        <f aca="false">'🤖 Claude Haiku 3.5'!J47</f>
        <v>5</v>
      </c>
    </row>
    <row r="48" customFormat="false" ht="15.75" hidden="false" customHeight="false" outlineLevel="0" collapsed="false">
      <c r="A48" s="128" t="str">
        <f aca="false">'🤖 Claude Haiku 3.5'!$A$47</f>
        <v>https://www.berria.eus/euskal-herria/ortuzarrek-dio-eajk-euskadiko-estatus-berriari-bultzada-eman-nahi-diola_2124257_102.html</v>
      </c>
      <c r="B48" s="4" t="str">
        <f aca="false">"Claude Sonnet 3.5"</f>
        <v>Claude Sonnet 3.5</v>
      </c>
      <c r="C48" s="129" t="str">
        <f aca="false">'🤖 Claude Haiku 3.5'!C48</f>
        <v>CoT</v>
      </c>
      <c r="D48" s="138" t="n">
        <f aca="false">'🤖 Claude Haiku 3.5'!E48</f>
        <v>0.2300380228</v>
      </c>
      <c r="E48" s="129" t="n">
        <f aca="false">'🤖 Claude Haiku 3.5'!F48</f>
        <v>3</v>
      </c>
      <c r="F48" s="129" t="n">
        <f aca="false">'🤖 Claude Haiku 3.5'!G48</f>
        <v>3</v>
      </c>
      <c r="G48" s="129" t="n">
        <f aca="false">'🤖 Claude Haiku 3.5'!H48</f>
        <v>3</v>
      </c>
      <c r="H48" s="129" t="n">
        <f aca="false">'🤖 Claude Haiku 3.5'!I48</f>
        <v>3</v>
      </c>
      <c r="I48" s="129" t="n">
        <f aca="false">'🤖 Claude Haiku 3.5'!J48</f>
        <v>4</v>
      </c>
    </row>
    <row r="49" customFormat="false" ht="15.75" hidden="false" customHeight="false" outlineLevel="0" collapsed="false">
      <c r="A49" s="128" t="str">
        <f aca="false">'🤖 Claude Haiku 3.5'!$A$47</f>
        <v>https://www.berria.eus/euskal-herria/ortuzarrek-dio-eajk-euskadiko-estatus-berriari-bultzada-eman-nahi-diola_2124257_102.html</v>
      </c>
      <c r="B49" s="4" t="str">
        <f aca="false">"Claude Sonnet 3.5"</f>
        <v>Claude Sonnet 3.5</v>
      </c>
      <c r="C49" s="129" t="str">
        <f aca="false">'🤖 Claude Haiku 3.5'!C49</f>
        <v>5W1H</v>
      </c>
      <c r="D49" s="152" t="n">
        <f aca="false">'🤖 Claude Haiku 3.5'!E49</f>
        <v>0.2585551331</v>
      </c>
      <c r="E49" s="129" t="n">
        <f aca="false">'🤖 Claude Haiku 3.5'!F49</f>
        <v>2</v>
      </c>
      <c r="F49" s="129" t="n">
        <f aca="false">'🤖 Claude Haiku 3.5'!G49</f>
        <v>5</v>
      </c>
      <c r="G49" s="129" t="n">
        <f aca="false">'🤖 Claude Haiku 3.5'!H49</f>
        <v>5</v>
      </c>
      <c r="H49" s="129" t="n">
        <f aca="false">'🤖 Claude Haiku 3.5'!I49</f>
        <v>3</v>
      </c>
      <c r="I49" s="129" t="n">
        <f aca="false">'🤖 Claude Haiku 3.5'!J49</f>
        <v>5</v>
      </c>
    </row>
    <row r="50" customFormat="false" ht="15.75" hidden="false" customHeight="false" outlineLevel="0" collapsed="false">
      <c r="A50" s="128" t="str">
        <f aca="false">'🤖 Claude Haiku 3.5'!$A$47</f>
        <v>https://www.berria.eus/euskal-herria/ortuzarrek-dio-eajk-euskadiko-estatus-berriari-bultzada-eman-nahi-diola_2124257_102.html</v>
      </c>
      <c r="B50" s="4" t="str">
        <f aca="false">"Claude Sonnet 3.5"</f>
        <v>Claude Sonnet 3.5</v>
      </c>
      <c r="C50" s="129" t="str">
        <f aca="false">'🤖 Claude Haiku 3.5'!C50</f>
        <v>tldr</v>
      </c>
      <c r="D50" s="153" t="n">
        <f aca="false">'🤖 Claude Haiku 3.5'!E50</f>
        <v>0.2072243346</v>
      </c>
      <c r="E50" s="129" t="n">
        <f aca="false">'🤖 Claude Haiku 3.5'!F50</f>
        <v>3</v>
      </c>
      <c r="F50" s="129" t="n">
        <f aca="false">'🤖 Claude Haiku 3.5'!G50</f>
        <v>5</v>
      </c>
      <c r="G50" s="129" t="n">
        <f aca="false">'🤖 Claude Haiku 3.5'!H50</f>
        <v>5</v>
      </c>
      <c r="H50" s="129" t="n">
        <f aca="false">'🤖 Claude Haiku 3.5'!I50</f>
        <v>4</v>
      </c>
      <c r="I50" s="129" t="n">
        <f aca="false">'🤖 Claude Haiku 3.5'!J50</f>
        <v>5</v>
      </c>
    </row>
    <row r="51" customFormat="false" ht="15.75" hidden="false" customHeight="false" outlineLevel="0" collapsed="false">
      <c r="A51" s="128"/>
      <c r="B51" s="4"/>
      <c r="C51" s="6"/>
      <c r="D51" s="153"/>
      <c r="E51" s="6"/>
      <c r="F51" s="6"/>
      <c r="G51" s="6"/>
      <c r="H51" s="6"/>
      <c r="I51" s="6"/>
    </row>
    <row r="52" customFormat="false" ht="15.75" hidden="false" customHeight="false" outlineLevel="0" collapsed="false">
      <c r="A52" s="128" t="n">
        <f aca="false">'🤖 Claude Haiku 3.5'!$A$52</f>
        <v>0</v>
      </c>
      <c r="B52" s="4" t="str">
        <f aca="false">"Claude Sonnet 3.5"</f>
        <v>Claude Sonnet 3.5</v>
      </c>
      <c r="C52" s="129" t="str">
        <f aca="false">'🤖 Claude Haiku 3.5'!C52</f>
        <v>Base</v>
      </c>
      <c r="D52" s="153" t="n">
        <f aca="false">'🤖 Claude Haiku 3.5'!E52</f>
        <v>0.001901140684</v>
      </c>
      <c r="E52" s="129" t="n">
        <f aca="false">'🤖 Claude Haiku 3.5'!F52</f>
        <v>0</v>
      </c>
      <c r="F52" s="129" t="n">
        <f aca="false">'🤖 Claude Haiku 3.5'!G52</f>
        <v>0</v>
      </c>
      <c r="G52" s="129" t="n">
        <f aca="false">'🤖 Claude Haiku 3.5'!H52</f>
        <v>0</v>
      </c>
      <c r="H52" s="129" t="n">
        <f aca="false">'🤖 Claude Haiku 3.5'!I52</f>
        <v>0</v>
      </c>
      <c r="I52" s="129" t="n">
        <f aca="false">'🤖 Claude Haiku 3.5'!J52</f>
        <v>0</v>
      </c>
    </row>
    <row r="53" customFormat="false" ht="15.75" hidden="false" customHeight="false" outlineLevel="0" collapsed="false">
      <c r="A53" s="128" t="n">
        <f aca="false">'🤖 Claude Haiku 3.5'!$A$52</f>
        <v>0</v>
      </c>
      <c r="B53" s="4" t="str">
        <f aca="false">"Claude Sonnet 3.5"</f>
        <v>Claude Sonnet 3.5</v>
      </c>
      <c r="C53" s="129" t="str">
        <f aca="false">'🤖 Claude Haiku 3.5'!C53</f>
        <v>CoT</v>
      </c>
      <c r="D53" s="153" t="n">
        <f aca="false">'🤖 Claude Haiku 3.5'!E53</f>
        <v>0.001901140684</v>
      </c>
      <c r="E53" s="129" t="n">
        <f aca="false">'🤖 Claude Haiku 3.5'!F53</f>
        <v>0</v>
      </c>
      <c r="F53" s="129" t="n">
        <f aca="false">'🤖 Claude Haiku 3.5'!G53</f>
        <v>0</v>
      </c>
      <c r="G53" s="129" t="n">
        <f aca="false">'🤖 Claude Haiku 3.5'!H53</f>
        <v>0</v>
      </c>
      <c r="H53" s="129" t="n">
        <f aca="false">'🤖 Claude Haiku 3.5'!I53</f>
        <v>0</v>
      </c>
      <c r="I53" s="129" t="n">
        <f aca="false">'🤖 Claude Haiku 3.5'!J53</f>
        <v>0</v>
      </c>
    </row>
    <row r="54" customFormat="false" ht="15.75" hidden="false" customHeight="false" outlineLevel="0" collapsed="false">
      <c r="A54" s="128" t="n">
        <f aca="false">'🤖 Claude Haiku 3.5'!$A$52</f>
        <v>0</v>
      </c>
      <c r="B54" s="4" t="str">
        <f aca="false">"Claude Sonnet 3.5"</f>
        <v>Claude Sonnet 3.5</v>
      </c>
      <c r="C54" s="129" t="str">
        <f aca="false">'🤖 Claude Haiku 3.5'!C54</f>
        <v>5W1H</v>
      </c>
      <c r="D54" s="153" t="n">
        <f aca="false">'🤖 Claude Haiku 3.5'!E54</f>
        <v>0.001901140684</v>
      </c>
      <c r="E54" s="129" t="n">
        <f aca="false">'🤖 Claude Haiku 3.5'!F54</f>
        <v>0</v>
      </c>
      <c r="F54" s="129" t="n">
        <f aca="false">'🤖 Claude Haiku 3.5'!G54</f>
        <v>0</v>
      </c>
      <c r="G54" s="129" t="n">
        <f aca="false">'🤖 Claude Haiku 3.5'!H54</f>
        <v>0</v>
      </c>
      <c r="H54" s="129" t="n">
        <f aca="false">'🤖 Claude Haiku 3.5'!I54</f>
        <v>0</v>
      </c>
      <c r="I54" s="129" t="n">
        <f aca="false">'🤖 Claude Haiku 3.5'!J54</f>
        <v>0</v>
      </c>
    </row>
    <row r="55" customFormat="false" ht="15.75" hidden="false" customHeight="false" outlineLevel="0" collapsed="false">
      <c r="A55" s="128" t="n">
        <f aca="false">'🤖 Claude Haiku 3.5'!$A$52</f>
        <v>0</v>
      </c>
      <c r="B55" s="4" t="str">
        <f aca="false">"Claude Sonnet 3.5"</f>
        <v>Claude Sonnet 3.5</v>
      </c>
      <c r="C55" s="129" t="str">
        <f aca="false">'🤖 Claude Haiku 3.5'!C55</f>
        <v>tldr</v>
      </c>
      <c r="D55" s="153" t="n">
        <f aca="false">'🤖 Claude Haiku 3.5'!E55</f>
        <v>0.001901140684</v>
      </c>
      <c r="E55" s="129" t="n">
        <f aca="false">'🤖 Claude Haiku 3.5'!F55</f>
        <v>0</v>
      </c>
      <c r="F55" s="129" t="n">
        <f aca="false">'🤖 Claude Haiku 3.5'!G55</f>
        <v>0</v>
      </c>
      <c r="G55" s="129" t="n">
        <f aca="false">'🤖 Claude Haiku 3.5'!H55</f>
        <v>0</v>
      </c>
      <c r="H55" s="129" t="n">
        <f aca="false">'🤖 Claude Haiku 3.5'!I55</f>
        <v>0</v>
      </c>
      <c r="I55" s="129" t="n">
        <f aca="false">'🤖 Claude Haiku 3.5'!J55</f>
        <v>0</v>
      </c>
    </row>
    <row r="56" customFormat="false" ht="15.75" hidden="false" customHeight="false" outlineLevel="0" collapsed="false">
      <c r="A56" s="128"/>
      <c r="B56" s="4"/>
      <c r="C56" s="6"/>
      <c r="D56" s="153"/>
      <c r="E56" s="6"/>
      <c r="F56" s="6"/>
      <c r="G56" s="6"/>
      <c r="H56" s="6"/>
      <c r="I56" s="6"/>
    </row>
    <row r="57" customFormat="false" ht="15.75" hidden="false" customHeight="false" outlineLevel="0" collapsed="false">
      <c r="A57" s="128" t="n">
        <f aca="false">'🤖 Claude Haiku 3.5'!$A$57</f>
        <v>0</v>
      </c>
      <c r="B57" s="4" t="str">
        <f aca="false">"Claude Sonnet 3.5"</f>
        <v>Claude Sonnet 3.5</v>
      </c>
      <c r="C57" s="129" t="str">
        <f aca="false">'🤖 Claude Haiku 3.5'!C57</f>
        <v>Base</v>
      </c>
      <c r="D57" s="153" t="n">
        <f aca="false">'🤖 Claude Haiku 3.5'!E57</f>
        <v>0.001901140684</v>
      </c>
      <c r="E57" s="129" t="n">
        <f aca="false">'🤖 Claude Haiku 3.5'!F57</f>
        <v>0</v>
      </c>
      <c r="F57" s="129" t="n">
        <f aca="false">'🤖 Claude Haiku 3.5'!G57</f>
        <v>0</v>
      </c>
      <c r="G57" s="129" t="n">
        <f aca="false">'🤖 Claude Haiku 3.5'!H57</f>
        <v>0</v>
      </c>
      <c r="H57" s="129" t="n">
        <f aca="false">'🤖 Claude Haiku 3.5'!I57</f>
        <v>0</v>
      </c>
      <c r="I57" s="129" t="n">
        <f aca="false">'🤖 Claude Haiku 3.5'!J57</f>
        <v>0</v>
      </c>
    </row>
    <row r="58" customFormat="false" ht="15.75" hidden="false" customHeight="false" outlineLevel="0" collapsed="false">
      <c r="A58" s="128" t="n">
        <f aca="false">'🤖 Claude Haiku 3.5'!$A$57</f>
        <v>0</v>
      </c>
      <c r="B58" s="4" t="str">
        <f aca="false">"Claude Sonnet 3.5"</f>
        <v>Claude Sonnet 3.5</v>
      </c>
      <c r="C58" s="129" t="str">
        <f aca="false">'🤖 Claude Haiku 3.5'!C58</f>
        <v>CoT</v>
      </c>
      <c r="D58" s="153" t="n">
        <f aca="false">'🤖 Claude Haiku 3.5'!E58</f>
        <v>0.001901140684</v>
      </c>
      <c r="E58" s="129" t="n">
        <f aca="false">'🤖 Claude Haiku 3.5'!F58</f>
        <v>0</v>
      </c>
      <c r="F58" s="129" t="n">
        <f aca="false">'🤖 Claude Haiku 3.5'!G58</f>
        <v>0</v>
      </c>
      <c r="G58" s="129" t="n">
        <f aca="false">'🤖 Claude Haiku 3.5'!H58</f>
        <v>0</v>
      </c>
      <c r="H58" s="129" t="n">
        <f aca="false">'🤖 Claude Haiku 3.5'!I58</f>
        <v>0</v>
      </c>
      <c r="I58" s="129" t="n">
        <f aca="false">'🤖 Claude Haiku 3.5'!J58</f>
        <v>0</v>
      </c>
    </row>
    <row r="59" customFormat="false" ht="15.75" hidden="false" customHeight="false" outlineLevel="0" collapsed="false">
      <c r="A59" s="128" t="n">
        <f aca="false">'🤖 Claude Haiku 3.5'!$A$57</f>
        <v>0</v>
      </c>
      <c r="B59" s="4" t="str">
        <f aca="false">"Claude Sonnet 3.5"</f>
        <v>Claude Sonnet 3.5</v>
      </c>
      <c r="C59" s="129" t="str">
        <f aca="false">'🤖 Claude Haiku 3.5'!C59</f>
        <v>5W1H</v>
      </c>
      <c r="D59" s="153" t="n">
        <f aca="false">'🤖 Claude Haiku 3.5'!E59</f>
        <v>0.001901140684</v>
      </c>
      <c r="E59" s="129" t="n">
        <f aca="false">'🤖 Claude Haiku 3.5'!F59</f>
        <v>0</v>
      </c>
      <c r="F59" s="129" t="n">
        <f aca="false">'🤖 Claude Haiku 3.5'!G59</f>
        <v>0</v>
      </c>
      <c r="G59" s="129" t="n">
        <f aca="false">'🤖 Claude Haiku 3.5'!H59</f>
        <v>0</v>
      </c>
      <c r="H59" s="129" t="n">
        <f aca="false">'🤖 Claude Haiku 3.5'!I59</f>
        <v>0</v>
      </c>
      <c r="I59" s="129" t="n">
        <f aca="false">'🤖 Claude Haiku 3.5'!J59</f>
        <v>0</v>
      </c>
    </row>
    <row r="60" customFormat="false" ht="15.75" hidden="false" customHeight="false" outlineLevel="0" collapsed="false">
      <c r="A60" s="128" t="n">
        <f aca="false">'🤖 Claude Haiku 3.5'!$A$57</f>
        <v>0</v>
      </c>
      <c r="B60" s="4" t="str">
        <f aca="false">"Claude Sonnet 3.5"</f>
        <v>Claude Sonnet 3.5</v>
      </c>
      <c r="C60" s="129" t="str">
        <f aca="false">'🤖 Claude Haiku 3.5'!C60</f>
        <v>tldr</v>
      </c>
      <c r="D60" s="153" t="n">
        <f aca="false">'🤖 Claude Haiku 3.5'!E60</f>
        <v>0.001901140684</v>
      </c>
      <c r="E60" s="129" t="n">
        <f aca="false">'🤖 Claude Haiku 3.5'!F60</f>
        <v>0</v>
      </c>
      <c r="F60" s="129" t="n">
        <f aca="false">'🤖 Claude Haiku 3.5'!G60</f>
        <v>0</v>
      </c>
      <c r="G60" s="129" t="n">
        <f aca="false">'🤖 Claude Haiku 3.5'!H60</f>
        <v>0</v>
      </c>
      <c r="H60" s="129" t="n">
        <f aca="false">'🤖 Claude Haiku 3.5'!I60</f>
        <v>0</v>
      </c>
      <c r="I60" s="129" t="n">
        <f aca="false">'🤖 Claude Haiku 3.5'!J60</f>
        <v>0</v>
      </c>
    </row>
    <row r="61" customFormat="false" ht="15.75" hidden="false" customHeight="false" outlineLevel="0" collapsed="false">
      <c r="A61" s="128"/>
      <c r="B61" s="4"/>
      <c r="C61" s="6"/>
      <c r="D61" s="153"/>
      <c r="E61" s="6"/>
      <c r="F61" s="6"/>
      <c r="G61" s="6"/>
      <c r="H61" s="6"/>
      <c r="I61" s="6"/>
    </row>
    <row r="62" customFormat="false" ht="15.75" hidden="false" customHeight="false" outlineLevel="0" collapsed="false">
      <c r="A62" s="128" t="n">
        <f aca="false">'🤖 Claude Haiku 3.5'!$A$62</f>
        <v>0</v>
      </c>
      <c r="B62" s="4" t="str">
        <f aca="false">"Claude Sonnet 3.5"</f>
        <v>Claude Sonnet 3.5</v>
      </c>
      <c r="C62" s="129" t="str">
        <f aca="false">'🤖 Claude Haiku 3.5'!C62</f>
        <v>Base</v>
      </c>
      <c r="D62" s="153" t="n">
        <f aca="false">'🤖 Claude Haiku 3.5'!E62</f>
        <v>0.001901140684</v>
      </c>
      <c r="E62" s="129" t="n">
        <f aca="false">'🤖 Claude Haiku 3.5'!F62</f>
        <v>0</v>
      </c>
      <c r="F62" s="129" t="n">
        <f aca="false">'🤖 Claude Haiku 3.5'!G62</f>
        <v>0</v>
      </c>
      <c r="G62" s="129" t="n">
        <f aca="false">'🤖 Claude Haiku 3.5'!H62</f>
        <v>0</v>
      </c>
      <c r="H62" s="129" t="n">
        <f aca="false">'🤖 Claude Haiku 3.5'!I62</f>
        <v>0</v>
      </c>
      <c r="I62" s="129" t="n">
        <f aca="false">'🤖 Claude Haiku 3.5'!J62</f>
        <v>0</v>
      </c>
    </row>
    <row r="63" customFormat="false" ht="15.75" hidden="false" customHeight="false" outlineLevel="0" collapsed="false">
      <c r="A63" s="128" t="n">
        <f aca="false">'🤖 Claude Haiku 3.5'!$A$62</f>
        <v>0</v>
      </c>
      <c r="B63" s="4" t="str">
        <f aca="false">"Claude Sonnet 3.5"</f>
        <v>Claude Sonnet 3.5</v>
      </c>
      <c r="C63" s="129" t="str">
        <f aca="false">'🤖 Claude Haiku 3.5'!C63</f>
        <v>CoT</v>
      </c>
      <c r="D63" s="153" t="n">
        <f aca="false">'🤖 Claude Haiku 3.5'!E63</f>
        <v>0.001901140684</v>
      </c>
      <c r="E63" s="129" t="n">
        <f aca="false">'🤖 Claude Haiku 3.5'!F63</f>
        <v>0</v>
      </c>
      <c r="F63" s="129" t="n">
        <f aca="false">'🤖 Claude Haiku 3.5'!G63</f>
        <v>0</v>
      </c>
      <c r="G63" s="129" t="n">
        <f aca="false">'🤖 Claude Haiku 3.5'!H63</f>
        <v>0</v>
      </c>
      <c r="H63" s="129" t="n">
        <f aca="false">'🤖 Claude Haiku 3.5'!I63</f>
        <v>0</v>
      </c>
      <c r="I63" s="129" t="n">
        <f aca="false">'🤖 Claude Haiku 3.5'!J63</f>
        <v>0</v>
      </c>
    </row>
    <row r="64" customFormat="false" ht="15.75" hidden="false" customHeight="false" outlineLevel="0" collapsed="false">
      <c r="A64" s="128" t="n">
        <f aca="false">'🤖 Claude Haiku 3.5'!$A$62</f>
        <v>0</v>
      </c>
      <c r="B64" s="4" t="str">
        <f aca="false">"Claude Sonnet 3.5"</f>
        <v>Claude Sonnet 3.5</v>
      </c>
      <c r="C64" s="129" t="str">
        <f aca="false">'🤖 Claude Haiku 3.5'!C64</f>
        <v>5W1H</v>
      </c>
      <c r="D64" s="153" t="n">
        <f aca="false">'🤖 Claude Haiku 3.5'!E64</f>
        <v>0.001901140684</v>
      </c>
      <c r="E64" s="129" t="n">
        <f aca="false">'🤖 Claude Haiku 3.5'!F64</f>
        <v>0</v>
      </c>
      <c r="F64" s="129" t="n">
        <f aca="false">'🤖 Claude Haiku 3.5'!G64</f>
        <v>0</v>
      </c>
      <c r="G64" s="129" t="n">
        <f aca="false">'🤖 Claude Haiku 3.5'!H64</f>
        <v>0</v>
      </c>
      <c r="H64" s="129" t="n">
        <f aca="false">'🤖 Claude Haiku 3.5'!I64</f>
        <v>0</v>
      </c>
      <c r="I64" s="129" t="n">
        <f aca="false">'🤖 Claude Haiku 3.5'!J64</f>
        <v>0</v>
      </c>
    </row>
    <row r="65" customFormat="false" ht="15.75" hidden="false" customHeight="false" outlineLevel="0" collapsed="false">
      <c r="A65" s="128" t="n">
        <f aca="false">'🤖 Claude Haiku 3.5'!$A$62</f>
        <v>0</v>
      </c>
      <c r="B65" s="4" t="str">
        <f aca="false">"Claude Sonnet 3.5"</f>
        <v>Claude Sonnet 3.5</v>
      </c>
      <c r="C65" s="129" t="str">
        <f aca="false">'🤖 Claude Haiku 3.5'!C65</f>
        <v>tldr</v>
      </c>
      <c r="D65" s="153" t="n">
        <f aca="false">'🤖 Claude Haiku 3.5'!E65</f>
        <v>0.001901140684</v>
      </c>
      <c r="E65" s="129" t="n">
        <f aca="false">'🤖 Claude Haiku 3.5'!F65</f>
        <v>0</v>
      </c>
      <c r="F65" s="129" t="n">
        <f aca="false">'🤖 Claude Haiku 3.5'!G65</f>
        <v>0</v>
      </c>
      <c r="G65" s="129" t="n">
        <f aca="false">'🤖 Claude Haiku 3.5'!H65</f>
        <v>0</v>
      </c>
      <c r="H65" s="129" t="n">
        <f aca="false">'🤖 Claude Haiku 3.5'!I65</f>
        <v>0</v>
      </c>
      <c r="I65" s="129" t="n">
        <f aca="false">'🤖 Claude Haiku 3.5'!J65</f>
        <v>0</v>
      </c>
    </row>
    <row r="66" customFormat="false" ht="15.75" hidden="false" customHeight="false" outlineLevel="0" collapsed="false">
      <c r="A66" s="128"/>
      <c r="B66" s="4"/>
      <c r="C66" s="6"/>
      <c r="D66" s="153"/>
      <c r="E66" s="6"/>
      <c r="F66" s="6"/>
      <c r="G66" s="6"/>
      <c r="H66" s="6"/>
      <c r="I66" s="6"/>
    </row>
    <row r="67" customFormat="false" ht="15.75" hidden="false" customHeight="false" outlineLevel="0" collapsed="false">
      <c r="A67" s="128" t="n">
        <f aca="false">'🤖 Claude Haiku 3.5'!$A$67</f>
        <v>0</v>
      </c>
      <c r="B67" s="4" t="str">
        <f aca="false">"Claude Sonnet 3.5"</f>
        <v>Claude Sonnet 3.5</v>
      </c>
      <c r="C67" s="129" t="str">
        <f aca="false">'🤖 Claude Haiku 3.5'!C67</f>
        <v>Base</v>
      </c>
      <c r="D67" s="153" t="n">
        <f aca="false">'🤖 Claude Haiku 3.5'!E67</f>
        <v>0.001901140684</v>
      </c>
      <c r="E67" s="129" t="n">
        <f aca="false">'🤖 Claude Haiku 3.5'!F67</f>
        <v>0</v>
      </c>
      <c r="F67" s="129" t="n">
        <f aca="false">'🤖 Claude Haiku 3.5'!G67</f>
        <v>0</v>
      </c>
      <c r="G67" s="129" t="n">
        <f aca="false">'🤖 Claude Haiku 3.5'!H67</f>
        <v>0</v>
      </c>
      <c r="H67" s="129" t="n">
        <f aca="false">'🤖 Claude Haiku 3.5'!I67</f>
        <v>0</v>
      </c>
      <c r="I67" s="129" t="n">
        <f aca="false">'🤖 Claude Haiku 3.5'!J67</f>
        <v>0</v>
      </c>
    </row>
    <row r="68" customFormat="false" ht="15.75" hidden="false" customHeight="false" outlineLevel="0" collapsed="false">
      <c r="A68" s="128" t="n">
        <f aca="false">'🤖 Claude Haiku 3.5'!$A$67</f>
        <v>0</v>
      </c>
      <c r="B68" s="4" t="str">
        <f aca="false">"Claude Sonnet 3.5"</f>
        <v>Claude Sonnet 3.5</v>
      </c>
      <c r="C68" s="129" t="str">
        <f aca="false">'🤖 Claude Haiku 3.5'!C68</f>
        <v>CoT</v>
      </c>
      <c r="D68" s="153" t="n">
        <f aca="false">'🤖 Claude Haiku 3.5'!E68</f>
        <v>0.001901140684</v>
      </c>
      <c r="E68" s="129" t="n">
        <f aca="false">'🤖 Claude Haiku 3.5'!F68</f>
        <v>0</v>
      </c>
      <c r="F68" s="129" t="n">
        <f aca="false">'🤖 Claude Haiku 3.5'!G68</f>
        <v>0</v>
      </c>
      <c r="G68" s="129" t="n">
        <f aca="false">'🤖 Claude Haiku 3.5'!H68</f>
        <v>0</v>
      </c>
      <c r="H68" s="129" t="n">
        <f aca="false">'🤖 Claude Haiku 3.5'!I68</f>
        <v>0</v>
      </c>
      <c r="I68" s="129" t="n">
        <f aca="false">'🤖 Claude Haiku 3.5'!J68</f>
        <v>0</v>
      </c>
    </row>
    <row r="69" customFormat="false" ht="15.75" hidden="false" customHeight="false" outlineLevel="0" collapsed="false">
      <c r="A69" s="128" t="n">
        <f aca="false">'🤖 Claude Haiku 3.5'!$A$67</f>
        <v>0</v>
      </c>
      <c r="B69" s="4" t="str">
        <f aca="false">"Claude Sonnet 3.5"</f>
        <v>Claude Sonnet 3.5</v>
      </c>
      <c r="C69" s="129" t="str">
        <f aca="false">'🤖 Claude Haiku 3.5'!C69</f>
        <v>5W1H</v>
      </c>
      <c r="D69" s="153" t="n">
        <f aca="false">'🤖 Claude Haiku 3.5'!E69</f>
        <v>0.001901140684</v>
      </c>
      <c r="E69" s="129" t="n">
        <f aca="false">'🤖 Claude Haiku 3.5'!F69</f>
        <v>0</v>
      </c>
      <c r="F69" s="129" t="n">
        <f aca="false">'🤖 Claude Haiku 3.5'!G69</f>
        <v>0</v>
      </c>
      <c r="G69" s="129" t="n">
        <f aca="false">'🤖 Claude Haiku 3.5'!H69</f>
        <v>0</v>
      </c>
      <c r="H69" s="129" t="n">
        <f aca="false">'🤖 Claude Haiku 3.5'!I69</f>
        <v>0</v>
      </c>
      <c r="I69" s="129" t="n">
        <f aca="false">'🤖 Claude Haiku 3.5'!J69</f>
        <v>0</v>
      </c>
    </row>
    <row r="70" customFormat="false" ht="15.75" hidden="false" customHeight="false" outlineLevel="0" collapsed="false">
      <c r="A70" s="128" t="n">
        <f aca="false">'🤖 Claude Haiku 3.5'!$A$67</f>
        <v>0</v>
      </c>
      <c r="B70" s="4" t="str">
        <f aca="false">"Claude Sonnet 3.5"</f>
        <v>Claude Sonnet 3.5</v>
      </c>
      <c r="C70" s="129" t="str">
        <f aca="false">'🤖 Claude Haiku 3.5'!C70</f>
        <v>tldr</v>
      </c>
      <c r="D70" s="153" t="n">
        <f aca="false">'🤖 Claude Haiku 3.5'!E70</f>
        <v>0.001901140684</v>
      </c>
      <c r="E70" s="129" t="n">
        <f aca="false">'🤖 Claude Haiku 3.5'!F70</f>
        <v>0</v>
      </c>
      <c r="F70" s="129" t="n">
        <f aca="false">'🤖 Claude Haiku 3.5'!G70</f>
        <v>0</v>
      </c>
      <c r="G70" s="129" t="n">
        <f aca="false">'🤖 Claude Haiku 3.5'!H70</f>
        <v>0</v>
      </c>
      <c r="H70" s="129" t="n">
        <f aca="false">'🤖 Claude Haiku 3.5'!I70</f>
        <v>0</v>
      </c>
      <c r="I70" s="129" t="n">
        <f aca="false">'🤖 Claude Haiku 3.5'!J70</f>
        <v>0</v>
      </c>
    </row>
    <row r="71" customFormat="false" ht="15.75" hidden="false" customHeight="false" outlineLevel="0" collapsed="false">
      <c r="A71" s="128"/>
      <c r="B71" s="4"/>
      <c r="C71" s="6"/>
      <c r="D71" s="153"/>
      <c r="E71" s="6"/>
      <c r="F71" s="6"/>
      <c r="G71" s="6"/>
      <c r="H71" s="6"/>
      <c r="I71" s="6"/>
    </row>
    <row r="72" customFormat="false" ht="15.75" hidden="false" customHeight="false" outlineLevel="0" collapsed="false">
      <c r="A72" s="128" t="n">
        <f aca="false">'🤖 Claude Haiku 3.5'!$A$72</f>
        <v>0</v>
      </c>
      <c r="B72" s="4" t="str">
        <f aca="false">"Claude Sonnet 3.5"</f>
        <v>Claude Sonnet 3.5</v>
      </c>
      <c r="C72" s="129" t="str">
        <f aca="false">'🤖 Claude Haiku 3.5'!C72</f>
        <v>Base</v>
      </c>
      <c r="D72" s="153" t="n">
        <f aca="false">'🤖 Claude Haiku 3.5'!E72</f>
        <v>0.001901140684</v>
      </c>
      <c r="E72" s="129" t="n">
        <f aca="false">'🤖 Claude Haiku 3.5'!F72</f>
        <v>0</v>
      </c>
      <c r="F72" s="129" t="n">
        <f aca="false">'🤖 Claude Haiku 3.5'!G72</f>
        <v>0</v>
      </c>
      <c r="G72" s="129" t="n">
        <f aca="false">'🤖 Claude Haiku 3.5'!H72</f>
        <v>0</v>
      </c>
      <c r="H72" s="129" t="n">
        <f aca="false">'🤖 Claude Haiku 3.5'!I72</f>
        <v>0</v>
      </c>
      <c r="I72" s="129" t="n">
        <f aca="false">'🤖 Claude Haiku 3.5'!J72</f>
        <v>0</v>
      </c>
    </row>
    <row r="73" customFormat="false" ht="15.75" hidden="false" customHeight="false" outlineLevel="0" collapsed="false">
      <c r="A73" s="128" t="n">
        <f aca="false">'🤖 Claude Haiku 3.5'!$A$72</f>
        <v>0</v>
      </c>
      <c r="B73" s="4" t="str">
        <f aca="false">"Claude Sonnet 3.5"</f>
        <v>Claude Sonnet 3.5</v>
      </c>
      <c r="C73" s="129" t="str">
        <f aca="false">'🤖 Claude Haiku 3.5'!C73</f>
        <v>CoT</v>
      </c>
      <c r="D73" s="153" t="n">
        <f aca="false">'🤖 Claude Haiku 3.5'!E73</f>
        <v>0.001901140684</v>
      </c>
      <c r="E73" s="129" t="n">
        <f aca="false">'🤖 Claude Haiku 3.5'!F73</f>
        <v>0</v>
      </c>
      <c r="F73" s="129" t="n">
        <f aca="false">'🤖 Claude Haiku 3.5'!G73</f>
        <v>0</v>
      </c>
      <c r="G73" s="129" t="n">
        <f aca="false">'🤖 Claude Haiku 3.5'!H73</f>
        <v>0</v>
      </c>
      <c r="H73" s="129" t="n">
        <f aca="false">'🤖 Claude Haiku 3.5'!I73</f>
        <v>0</v>
      </c>
      <c r="I73" s="129" t="n">
        <f aca="false">'🤖 Claude Haiku 3.5'!J73</f>
        <v>0</v>
      </c>
    </row>
    <row r="74" customFormat="false" ht="15.75" hidden="false" customHeight="false" outlineLevel="0" collapsed="false">
      <c r="A74" s="128" t="n">
        <f aca="false">'🤖 Claude Haiku 3.5'!$A$72</f>
        <v>0</v>
      </c>
      <c r="B74" s="4" t="str">
        <f aca="false">"Claude Sonnet 3.5"</f>
        <v>Claude Sonnet 3.5</v>
      </c>
      <c r="C74" s="129" t="str">
        <f aca="false">'🤖 Claude Haiku 3.5'!C74</f>
        <v>5W1H</v>
      </c>
      <c r="D74" s="153" t="n">
        <f aca="false">'🤖 Claude Haiku 3.5'!E74</f>
        <v>0.001901140684</v>
      </c>
      <c r="E74" s="129" t="n">
        <f aca="false">'🤖 Claude Haiku 3.5'!F74</f>
        <v>0</v>
      </c>
      <c r="F74" s="129" t="n">
        <f aca="false">'🤖 Claude Haiku 3.5'!G74</f>
        <v>0</v>
      </c>
      <c r="G74" s="129" t="n">
        <f aca="false">'🤖 Claude Haiku 3.5'!H74</f>
        <v>0</v>
      </c>
      <c r="H74" s="129" t="n">
        <f aca="false">'🤖 Claude Haiku 3.5'!I74</f>
        <v>0</v>
      </c>
      <c r="I74" s="129" t="n">
        <f aca="false">'🤖 Claude Haiku 3.5'!J74</f>
        <v>0</v>
      </c>
    </row>
    <row r="75" customFormat="false" ht="15.75" hidden="false" customHeight="false" outlineLevel="0" collapsed="false">
      <c r="A75" s="128" t="n">
        <f aca="false">'🤖 Claude Haiku 3.5'!$A$72</f>
        <v>0</v>
      </c>
      <c r="B75" s="4" t="str">
        <f aca="false">"Claude Sonnet 3.5"</f>
        <v>Claude Sonnet 3.5</v>
      </c>
      <c r="C75" s="129" t="str">
        <f aca="false">'🤖 Claude Haiku 3.5'!C75</f>
        <v>tldr</v>
      </c>
      <c r="D75" s="153" t="n">
        <f aca="false">'🤖 Claude Haiku 3.5'!E75</f>
        <v>0.001901140684</v>
      </c>
      <c r="E75" s="129" t="n">
        <f aca="false">'🤖 Claude Haiku 3.5'!F75</f>
        <v>0</v>
      </c>
      <c r="F75" s="129" t="n">
        <f aca="false">'🤖 Claude Haiku 3.5'!G75</f>
        <v>0</v>
      </c>
      <c r="G75" s="129" t="n">
        <f aca="false">'🤖 Claude Haiku 3.5'!H75</f>
        <v>0</v>
      </c>
      <c r="H75" s="129" t="n">
        <f aca="false">'🤖 Claude Haiku 3.5'!I75</f>
        <v>0</v>
      </c>
      <c r="I75" s="129" t="n">
        <f aca="false">'🤖 Claude Haiku 3.5'!J75</f>
        <v>0</v>
      </c>
    </row>
    <row r="76" customFormat="false" ht="15.75" hidden="false" customHeight="false" outlineLevel="0" collapsed="false">
      <c r="A76" s="128"/>
      <c r="B76" s="4"/>
      <c r="C76" s="6"/>
      <c r="D76" s="153"/>
      <c r="E76" s="6"/>
      <c r="F76" s="6"/>
      <c r="G76" s="6"/>
      <c r="H76" s="6"/>
      <c r="I76" s="6"/>
    </row>
    <row r="77" customFormat="false" ht="15.75" hidden="false" customHeight="false" outlineLevel="0" collapsed="false">
      <c r="A77" s="128" t="n">
        <f aca="false">'🤖 Claude Haiku 3.5'!$A$77</f>
        <v>0</v>
      </c>
      <c r="B77" s="4" t="str">
        <f aca="false">"Claude Sonnet 3.5"</f>
        <v>Claude Sonnet 3.5</v>
      </c>
      <c r="C77" s="129" t="str">
        <f aca="false">'🤖 Claude Haiku 3.5'!C77</f>
        <v>Base</v>
      </c>
      <c r="D77" s="153" t="n">
        <f aca="false">'🤖 Claude Haiku 3.5'!E77</f>
        <v>0.001901140684</v>
      </c>
      <c r="E77" s="129" t="n">
        <f aca="false">'🤖 Claude Haiku 3.5'!F77</f>
        <v>0</v>
      </c>
      <c r="F77" s="129" t="n">
        <f aca="false">'🤖 Claude Haiku 3.5'!G77</f>
        <v>0</v>
      </c>
      <c r="G77" s="129" t="n">
        <f aca="false">'🤖 Claude Haiku 3.5'!H77</f>
        <v>0</v>
      </c>
      <c r="H77" s="129" t="n">
        <f aca="false">'🤖 Claude Haiku 3.5'!I77</f>
        <v>0</v>
      </c>
      <c r="I77" s="129" t="n">
        <f aca="false">'🤖 Claude Haiku 3.5'!J77</f>
        <v>0</v>
      </c>
    </row>
    <row r="78" customFormat="false" ht="15.75" hidden="false" customHeight="false" outlineLevel="0" collapsed="false">
      <c r="A78" s="128" t="n">
        <f aca="false">'🤖 Claude Haiku 3.5'!$A$77</f>
        <v>0</v>
      </c>
      <c r="B78" s="4" t="str">
        <f aca="false">"Claude Sonnet 3.5"</f>
        <v>Claude Sonnet 3.5</v>
      </c>
      <c r="C78" s="129" t="str">
        <f aca="false">'🤖 Claude Haiku 3.5'!C78</f>
        <v>CoT</v>
      </c>
      <c r="D78" s="153" t="n">
        <f aca="false">'🤖 Claude Haiku 3.5'!E78</f>
        <v>0.001901140684</v>
      </c>
      <c r="E78" s="129" t="n">
        <f aca="false">'🤖 Claude Haiku 3.5'!F78</f>
        <v>0</v>
      </c>
      <c r="F78" s="129" t="n">
        <f aca="false">'🤖 Claude Haiku 3.5'!G78</f>
        <v>0</v>
      </c>
      <c r="G78" s="129" t="n">
        <f aca="false">'🤖 Claude Haiku 3.5'!H78</f>
        <v>0</v>
      </c>
      <c r="H78" s="129" t="n">
        <f aca="false">'🤖 Claude Haiku 3.5'!I78</f>
        <v>0</v>
      </c>
      <c r="I78" s="129" t="n">
        <f aca="false">'🤖 Claude Haiku 3.5'!J78</f>
        <v>0</v>
      </c>
    </row>
    <row r="79" customFormat="false" ht="15.75" hidden="false" customHeight="false" outlineLevel="0" collapsed="false">
      <c r="A79" s="128" t="n">
        <f aca="false">'🤖 Claude Haiku 3.5'!$A$77</f>
        <v>0</v>
      </c>
      <c r="B79" s="4" t="str">
        <f aca="false">"Claude Sonnet 3.5"</f>
        <v>Claude Sonnet 3.5</v>
      </c>
      <c r="C79" s="129" t="str">
        <f aca="false">'🤖 Claude Haiku 3.5'!C79</f>
        <v>5W1H</v>
      </c>
      <c r="D79" s="153" t="n">
        <f aca="false">'🤖 Claude Haiku 3.5'!E79</f>
        <v>0.001901140684</v>
      </c>
      <c r="E79" s="129" t="n">
        <f aca="false">'🤖 Claude Haiku 3.5'!F79</f>
        <v>0</v>
      </c>
      <c r="F79" s="129" t="n">
        <f aca="false">'🤖 Claude Haiku 3.5'!G79</f>
        <v>0</v>
      </c>
      <c r="G79" s="129" t="n">
        <f aca="false">'🤖 Claude Haiku 3.5'!H79</f>
        <v>0</v>
      </c>
      <c r="H79" s="129" t="n">
        <f aca="false">'🤖 Claude Haiku 3.5'!I79</f>
        <v>0</v>
      </c>
      <c r="I79" s="129" t="n">
        <f aca="false">'🤖 Claude Haiku 3.5'!J79</f>
        <v>0</v>
      </c>
    </row>
    <row r="80" customFormat="false" ht="15.75" hidden="false" customHeight="false" outlineLevel="0" collapsed="false">
      <c r="A80" s="128" t="n">
        <f aca="false">'🤖 Claude Haiku 3.5'!$A$77</f>
        <v>0</v>
      </c>
      <c r="B80" s="4" t="str">
        <f aca="false">"Claude Sonnet 3.5"</f>
        <v>Claude Sonnet 3.5</v>
      </c>
      <c r="C80" s="129" t="str">
        <f aca="false">'🤖 Claude Haiku 3.5'!C80</f>
        <v>tldr</v>
      </c>
      <c r="D80" s="153" t="n">
        <f aca="false">'🤖 Claude Haiku 3.5'!E80</f>
        <v>0.001901140684</v>
      </c>
      <c r="E80" s="129" t="n">
        <f aca="false">'🤖 Claude Haiku 3.5'!F80</f>
        <v>0</v>
      </c>
      <c r="F80" s="129" t="n">
        <f aca="false">'🤖 Claude Haiku 3.5'!G80</f>
        <v>0</v>
      </c>
      <c r="G80" s="129" t="n">
        <f aca="false">'🤖 Claude Haiku 3.5'!H80</f>
        <v>0</v>
      </c>
      <c r="H80" s="129" t="n">
        <f aca="false">'🤖 Claude Haiku 3.5'!I80</f>
        <v>0</v>
      </c>
      <c r="I80" s="129" t="n">
        <f aca="false">'🤖 Claude Haiku 3.5'!J80</f>
        <v>0</v>
      </c>
    </row>
    <row r="81" customFormat="false" ht="15.75" hidden="false" customHeight="false" outlineLevel="0" collapsed="false">
      <c r="A81" s="128"/>
      <c r="B81" s="4"/>
      <c r="C81" s="6"/>
      <c r="D81" s="153"/>
      <c r="E81" s="6"/>
      <c r="F81" s="6"/>
      <c r="G81" s="6"/>
      <c r="H81" s="6"/>
      <c r="I81" s="6"/>
    </row>
    <row r="82" customFormat="false" ht="15.75" hidden="false" customHeight="false" outlineLevel="0" collapsed="false">
      <c r="A82" s="128" t="n">
        <f aca="false">'🤖 Claude Haiku 3.5'!$A$82</f>
        <v>0</v>
      </c>
      <c r="B82" s="4" t="str">
        <f aca="false">"Claude Sonnet 3.5"</f>
        <v>Claude Sonnet 3.5</v>
      </c>
      <c r="C82" s="129" t="str">
        <f aca="false">'🤖 Claude Haiku 3.5'!C82</f>
        <v>Base</v>
      </c>
      <c r="D82" s="153" t="n">
        <f aca="false">'🤖 Claude Haiku 3.5'!E82</f>
        <v>0.001901140684</v>
      </c>
      <c r="E82" s="129" t="n">
        <f aca="false">'🤖 Claude Haiku 3.5'!F82</f>
        <v>0</v>
      </c>
      <c r="F82" s="129" t="n">
        <f aca="false">'🤖 Claude Haiku 3.5'!G82</f>
        <v>0</v>
      </c>
      <c r="G82" s="129" t="n">
        <f aca="false">'🤖 Claude Haiku 3.5'!H82</f>
        <v>0</v>
      </c>
      <c r="H82" s="129" t="n">
        <f aca="false">'🤖 Claude Haiku 3.5'!I82</f>
        <v>0</v>
      </c>
      <c r="I82" s="129" t="n">
        <f aca="false">'🤖 Claude Haiku 3.5'!J82</f>
        <v>0</v>
      </c>
    </row>
    <row r="83" customFormat="false" ht="15.75" hidden="false" customHeight="false" outlineLevel="0" collapsed="false">
      <c r="A83" s="128" t="n">
        <f aca="false">'🤖 Claude Haiku 3.5'!$A$82</f>
        <v>0</v>
      </c>
      <c r="B83" s="4" t="str">
        <f aca="false">"Claude Sonnet 3.5"</f>
        <v>Claude Sonnet 3.5</v>
      </c>
      <c r="C83" s="129" t="str">
        <f aca="false">'🤖 Claude Haiku 3.5'!C83</f>
        <v>CoT</v>
      </c>
      <c r="D83" s="153" t="n">
        <f aca="false">'🤖 Claude Haiku 3.5'!E83</f>
        <v>0.001901140684</v>
      </c>
      <c r="E83" s="129" t="n">
        <f aca="false">'🤖 Claude Haiku 3.5'!F83</f>
        <v>0</v>
      </c>
      <c r="F83" s="129" t="n">
        <f aca="false">'🤖 Claude Haiku 3.5'!G83</f>
        <v>0</v>
      </c>
      <c r="G83" s="129" t="n">
        <f aca="false">'🤖 Claude Haiku 3.5'!H83</f>
        <v>0</v>
      </c>
      <c r="H83" s="129" t="n">
        <f aca="false">'🤖 Claude Haiku 3.5'!I83</f>
        <v>0</v>
      </c>
      <c r="I83" s="129" t="n">
        <f aca="false">'🤖 Claude Haiku 3.5'!J83</f>
        <v>0</v>
      </c>
    </row>
    <row r="84" customFormat="false" ht="15.75" hidden="false" customHeight="false" outlineLevel="0" collapsed="false">
      <c r="A84" s="128" t="n">
        <f aca="false">'🤖 Claude Haiku 3.5'!$A$82</f>
        <v>0</v>
      </c>
      <c r="B84" s="4" t="str">
        <f aca="false">"Claude Sonnet 3.5"</f>
        <v>Claude Sonnet 3.5</v>
      </c>
      <c r="C84" s="129" t="str">
        <f aca="false">'🤖 Claude Haiku 3.5'!C84</f>
        <v>5W1H</v>
      </c>
      <c r="D84" s="153" t="n">
        <f aca="false">'🤖 Claude Haiku 3.5'!E84</f>
        <v>0.001901140684</v>
      </c>
      <c r="E84" s="129" t="n">
        <f aca="false">'🤖 Claude Haiku 3.5'!F84</f>
        <v>0</v>
      </c>
      <c r="F84" s="129" t="n">
        <f aca="false">'🤖 Claude Haiku 3.5'!G84</f>
        <v>0</v>
      </c>
      <c r="G84" s="129" t="n">
        <f aca="false">'🤖 Claude Haiku 3.5'!H84</f>
        <v>0</v>
      </c>
      <c r="H84" s="129" t="n">
        <f aca="false">'🤖 Claude Haiku 3.5'!I84</f>
        <v>0</v>
      </c>
      <c r="I84" s="129" t="n">
        <f aca="false">'🤖 Claude Haiku 3.5'!J84</f>
        <v>0</v>
      </c>
    </row>
    <row r="85" customFormat="false" ht="15.75" hidden="false" customHeight="false" outlineLevel="0" collapsed="false">
      <c r="A85" s="128" t="n">
        <f aca="false">'🤖 Claude Haiku 3.5'!$A$82</f>
        <v>0</v>
      </c>
      <c r="B85" s="4" t="str">
        <f aca="false">"Claude Sonnet 3.5"</f>
        <v>Claude Sonnet 3.5</v>
      </c>
      <c r="C85" s="129" t="str">
        <f aca="false">'🤖 Claude Haiku 3.5'!C85</f>
        <v>tldr</v>
      </c>
      <c r="D85" s="153" t="n">
        <f aca="false">'🤖 Claude Haiku 3.5'!E85</f>
        <v>0.001901140684</v>
      </c>
      <c r="E85" s="129" t="n">
        <f aca="false">'🤖 Claude Haiku 3.5'!F85</f>
        <v>0</v>
      </c>
      <c r="F85" s="129" t="n">
        <f aca="false">'🤖 Claude Haiku 3.5'!G85</f>
        <v>0</v>
      </c>
      <c r="G85" s="129" t="n">
        <f aca="false">'🤖 Claude Haiku 3.5'!H85</f>
        <v>0</v>
      </c>
      <c r="H85" s="129" t="n">
        <f aca="false">'🤖 Claude Haiku 3.5'!I85</f>
        <v>0</v>
      </c>
      <c r="I85" s="129" t="n">
        <f aca="false">'🤖 Claude Haiku 3.5'!J85</f>
        <v>0</v>
      </c>
    </row>
    <row r="86" customFormat="false" ht="15.75" hidden="false" customHeight="false" outlineLevel="0" collapsed="false">
      <c r="A86" s="128"/>
      <c r="B86" s="4"/>
      <c r="C86" s="6"/>
      <c r="D86" s="153"/>
      <c r="E86" s="6"/>
      <c r="F86" s="6"/>
      <c r="G86" s="6"/>
      <c r="H86" s="6"/>
      <c r="I86" s="6"/>
    </row>
    <row r="87" customFormat="false" ht="15.75" hidden="false" customHeight="false" outlineLevel="0" collapsed="false">
      <c r="A87" s="128" t="n">
        <f aca="false">'🤖 Claude Haiku 3.5'!$A$87</f>
        <v>0</v>
      </c>
      <c r="B87" s="4" t="str">
        <f aca="false">"Claude Sonnet 3.5"</f>
        <v>Claude Sonnet 3.5</v>
      </c>
      <c r="C87" s="129" t="str">
        <f aca="false">'🤖 Claude Haiku 3.5'!C87</f>
        <v>Base</v>
      </c>
      <c r="D87" s="153" t="n">
        <f aca="false">'🤖 Claude Haiku 3.5'!E87</f>
        <v>0.001901140684</v>
      </c>
      <c r="E87" s="129" t="n">
        <f aca="false">'🤖 Claude Haiku 3.5'!F87</f>
        <v>0</v>
      </c>
      <c r="F87" s="129" t="n">
        <f aca="false">'🤖 Claude Haiku 3.5'!G87</f>
        <v>0</v>
      </c>
      <c r="G87" s="129" t="n">
        <f aca="false">'🤖 Claude Haiku 3.5'!H87</f>
        <v>0</v>
      </c>
      <c r="H87" s="129" t="n">
        <f aca="false">'🤖 Claude Haiku 3.5'!I87</f>
        <v>0</v>
      </c>
      <c r="I87" s="129" t="n">
        <f aca="false">'🤖 Claude Haiku 3.5'!J87</f>
        <v>0</v>
      </c>
    </row>
    <row r="88" customFormat="false" ht="15.75" hidden="false" customHeight="false" outlineLevel="0" collapsed="false">
      <c r="A88" s="128" t="n">
        <f aca="false">'🤖 Claude Haiku 3.5'!$A$87</f>
        <v>0</v>
      </c>
      <c r="B88" s="4" t="str">
        <f aca="false">"Claude Sonnet 3.5"</f>
        <v>Claude Sonnet 3.5</v>
      </c>
      <c r="C88" s="129" t="str">
        <f aca="false">'🤖 Claude Haiku 3.5'!C88</f>
        <v>CoT</v>
      </c>
      <c r="D88" s="153" t="n">
        <f aca="false">'🤖 Claude Haiku 3.5'!E88</f>
        <v>0.001901140684</v>
      </c>
      <c r="E88" s="129" t="n">
        <f aca="false">'🤖 Claude Haiku 3.5'!F88</f>
        <v>0</v>
      </c>
      <c r="F88" s="129" t="n">
        <f aca="false">'🤖 Claude Haiku 3.5'!G88</f>
        <v>0</v>
      </c>
      <c r="G88" s="129" t="n">
        <f aca="false">'🤖 Claude Haiku 3.5'!H88</f>
        <v>0</v>
      </c>
      <c r="H88" s="129" t="n">
        <f aca="false">'🤖 Claude Haiku 3.5'!I88</f>
        <v>0</v>
      </c>
      <c r="I88" s="129" t="n">
        <f aca="false">'🤖 Claude Haiku 3.5'!J88</f>
        <v>0</v>
      </c>
    </row>
    <row r="89" customFormat="false" ht="15.75" hidden="false" customHeight="false" outlineLevel="0" collapsed="false">
      <c r="A89" s="128" t="n">
        <f aca="false">'🤖 Claude Haiku 3.5'!$A$87</f>
        <v>0</v>
      </c>
      <c r="B89" s="4" t="str">
        <f aca="false">"Claude Sonnet 3.5"</f>
        <v>Claude Sonnet 3.5</v>
      </c>
      <c r="C89" s="129" t="str">
        <f aca="false">'🤖 Claude Haiku 3.5'!C89</f>
        <v>5W1H</v>
      </c>
      <c r="D89" s="153" t="n">
        <f aca="false">'🤖 Claude Haiku 3.5'!E89</f>
        <v>0.001901140684</v>
      </c>
      <c r="E89" s="129" t="n">
        <f aca="false">'🤖 Claude Haiku 3.5'!F89</f>
        <v>0</v>
      </c>
      <c r="F89" s="129" t="n">
        <f aca="false">'🤖 Claude Haiku 3.5'!G89</f>
        <v>0</v>
      </c>
      <c r="G89" s="129" t="n">
        <f aca="false">'🤖 Claude Haiku 3.5'!H89</f>
        <v>0</v>
      </c>
      <c r="H89" s="129" t="n">
        <f aca="false">'🤖 Claude Haiku 3.5'!I89</f>
        <v>0</v>
      </c>
      <c r="I89" s="129" t="n">
        <f aca="false">'🤖 Claude Haiku 3.5'!J89</f>
        <v>0</v>
      </c>
    </row>
    <row r="90" customFormat="false" ht="15.75" hidden="false" customHeight="false" outlineLevel="0" collapsed="false">
      <c r="A90" s="128" t="n">
        <f aca="false">'🤖 Claude Haiku 3.5'!$A$87</f>
        <v>0</v>
      </c>
      <c r="B90" s="4" t="str">
        <f aca="false">"Claude Sonnet 3.5"</f>
        <v>Claude Sonnet 3.5</v>
      </c>
      <c r="C90" s="129" t="str">
        <f aca="false">'🤖 Claude Haiku 3.5'!C90</f>
        <v>tldr</v>
      </c>
      <c r="D90" s="153" t="n">
        <f aca="false">'🤖 Claude Haiku 3.5'!E90</f>
        <v>0.001901140684</v>
      </c>
      <c r="E90" s="129" t="n">
        <f aca="false">'🤖 Claude Haiku 3.5'!F90</f>
        <v>0</v>
      </c>
      <c r="F90" s="129" t="n">
        <f aca="false">'🤖 Claude Haiku 3.5'!G90</f>
        <v>0</v>
      </c>
      <c r="G90" s="129" t="n">
        <f aca="false">'🤖 Claude Haiku 3.5'!H90</f>
        <v>0</v>
      </c>
      <c r="H90" s="129" t="n">
        <f aca="false">'🤖 Claude Haiku 3.5'!I90</f>
        <v>0</v>
      </c>
      <c r="I90" s="129" t="n">
        <f aca="false">'🤖 Claude Haiku 3.5'!J90</f>
        <v>0</v>
      </c>
    </row>
    <row r="91" customFormat="false" ht="15.75" hidden="false" customHeight="false" outlineLevel="0" collapsed="false">
      <c r="A91" s="128"/>
      <c r="B91" s="4"/>
      <c r="C91" s="6"/>
      <c r="D91" s="153"/>
      <c r="E91" s="6"/>
      <c r="F91" s="6"/>
      <c r="G91" s="6"/>
      <c r="H91" s="6"/>
      <c r="I91" s="6"/>
    </row>
    <row r="92" customFormat="false" ht="15.75" hidden="false" customHeight="false" outlineLevel="0" collapsed="false">
      <c r="A92" s="128" t="n">
        <f aca="false">'🤖 Claude Haiku 3.5'!$A$92</f>
        <v>0</v>
      </c>
      <c r="B92" s="4" t="str">
        <f aca="false">"Claude Sonnet 3.5"</f>
        <v>Claude Sonnet 3.5</v>
      </c>
      <c r="C92" s="129" t="str">
        <f aca="false">'🤖 Claude Haiku 3.5'!C92</f>
        <v>Base</v>
      </c>
      <c r="D92" s="153" t="n">
        <f aca="false">'🤖 Claude Haiku 3.5'!E92</f>
        <v>0.001901140684</v>
      </c>
      <c r="E92" s="129" t="n">
        <f aca="false">'🤖 Claude Haiku 3.5'!F92</f>
        <v>0</v>
      </c>
      <c r="F92" s="129" t="n">
        <f aca="false">'🤖 Claude Haiku 3.5'!G92</f>
        <v>0</v>
      </c>
      <c r="G92" s="129" t="n">
        <f aca="false">'🤖 Claude Haiku 3.5'!H92</f>
        <v>0</v>
      </c>
      <c r="H92" s="129" t="n">
        <f aca="false">'🤖 Claude Haiku 3.5'!I92</f>
        <v>0</v>
      </c>
      <c r="I92" s="129" t="n">
        <f aca="false">'🤖 Claude Haiku 3.5'!J92</f>
        <v>0</v>
      </c>
    </row>
    <row r="93" customFormat="false" ht="15.75" hidden="false" customHeight="false" outlineLevel="0" collapsed="false">
      <c r="A93" s="128" t="n">
        <f aca="false">'🤖 Claude Haiku 3.5'!$A$92</f>
        <v>0</v>
      </c>
      <c r="B93" s="4" t="str">
        <f aca="false">"Claude Sonnet 3.5"</f>
        <v>Claude Sonnet 3.5</v>
      </c>
      <c r="C93" s="129" t="str">
        <f aca="false">'🤖 Claude Haiku 3.5'!C93</f>
        <v>CoT</v>
      </c>
      <c r="D93" s="153" t="n">
        <f aca="false">'🤖 Claude Haiku 3.5'!E93</f>
        <v>0.001901140684</v>
      </c>
      <c r="E93" s="129" t="n">
        <f aca="false">'🤖 Claude Haiku 3.5'!F93</f>
        <v>0</v>
      </c>
      <c r="F93" s="129" t="n">
        <f aca="false">'🤖 Claude Haiku 3.5'!G93</f>
        <v>0</v>
      </c>
      <c r="G93" s="129" t="n">
        <f aca="false">'🤖 Claude Haiku 3.5'!H93</f>
        <v>0</v>
      </c>
      <c r="H93" s="129" t="n">
        <f aca="false">'🤖 Claude Haiku 3.5'!I93</f>
        <v>0</v>
      </c>
      <c r="I93" s="129" t="n">
        <f aca="false">'🤖 Claude Haiku 3.5'!J93</f>
        <v>0</v>
      </c>
    </row>
    <row r="94" customFormat="false" ht="15.75" hidden="false" customHeight="false" outlineLevel="0" collapsed="false">
      <c r="A94" s="128" t="n">
        <f aca="false">'🤖 Claude Haiku 3.5'!$A$92</f>
        <v>0</v>
      </c>
      <c r="B94" s="4" t="str">
        <f aca="false">"Claude Sonnet 3.5"</f>
        <v>Claude Sonnet 3.5</v>
      </c>
      <c r="C94" s="129" t="str">
        <f aca="false">'🤖 Claude Haiku 3.5'!C94</f>
        <v>5W1H</v>
      </c>
      <c r="D94" s="153" t="n">
        <f aca="false">'🤖 Claude Haiku 3.5'!E94</f>
        <v>0.001901140684</v>
      </c>
      <c r="E94" s="129" t="n">
        <f aca="false">'🤖 Claude Haiku 3.5'!F94</f>
        <v>0</v>
      </c>
      <c r="F94" s="129" t="n">
        <f aca="false">'🤖 Claude Haiku 3.5'!G94</f>
        <v>0</v>
      </c>
      <c r="G94" s="129" t="n">
        <f aca="false">'🤖 Claude Haiku 3.5'!H94</f>
        <v>0</v>
      </c>
      <c r="H94" s="129" t="n">
        <f aca="false">'🤖 Claude Haiku 3.5'!I94</f>
        <v>0</v>
      </c>
      <c r="I94" s="129" t="n">
        <f aca="false">'🤖 Claude Haiku 3.5'!J94</f>
        <v>0</v>
      </c>
    </row>
    <row r="95" customFormat="false" ht="15.75" hidden="false" customHeight="false" outlineLevel="0" collapsed="false">
      <c r="A95" s="128" t="n">
        <f aca="false">'🤖 Claude Haiku 3.5'!$A$92</f>
        <v>0</v>
      </c>
      <c r="B95" s="4" t="str">
        <f aca="false">"Claude Sonnet 3.5"</f>
        <v>Claude Sonnet 3.5</v>
      </c>
      <c r="C95" s="129" t="str">
        <f aca="false">'🤖 Claude Haiku 3.5'!C95</f>
        <v>tldr</v>
      </c>
      <c r="D95" s="153" t="n">
        <f aca="false">'🤖 Claude Haiku 3.5'!E95</f>
        <v>0.001901140684</v>
      </c>
      <c r="E95" s="129" t="n">
        <f aca="false">'🤖 Claude Haiku 3.5'!F95</f>
        <v>0</v>
      </c>
      <c r="F95" s="129" t="n">
        <f aca="false">'🤖 Claude Haiku 3.5'!G95</f>
        <v>0</v>
      </c>
      <c r="G95" s="129" t="n">
        <f aca="false">'🤖 Claude Haiku 3.5'!H95</f>
        <v>0</v>
      </c>
      <c r="H95" s="129" t="n">
        <f aca="false">'🤖 Claude Haiku 3.5'!I95</f>
        <v>0</v>
      </c>
      <c r="I95" s="129" t="n">
        <f aca="false">'🤖 Claude Haiku 3.5'!J95</f>
        <v>0</v>
      </c>
    </row>
    <row r="96" customFormat="false" ht="15.75" hidden="false" customHeight="false" outlineLevel="0" collapsed="false">
      <c r="A96" s="128"/>
      <c r="B96" s="4"/>
      <c r="C96" s="6"/>
      <c r="D96" s="153"/>
      <c r="E96" s="6"/>
      <c r="F96" s="6"/>
      <c r="G96" s="6"/>
      <c r="H96" s="6"/>
      <c r="I96" s="6"/>
    </row>
    <row r="97" customFormat="false" ht="15.75" hidden="false" customHeight="false" outlineLevel="0" collapsed="false">
      <c r="A97" s="128" t="n">
        <f aca="false">'🤖 Claude Haiku 3.5'!$A$97</f>
        <v>0</v>
      </c>
      <c r="B97" s="4" t="str">
        <f aca="false">"Claude Sonnet 3.5"</f>
        <v>Claude Sonnet 3.5</v>
      </c>
      <c r="C97" s="129" t="str">
        <f aca="false">'🤖 Claude Haiku 3.5'!C97</f>
        <v>Base</v>
      </c>
      <c r="D97" s="153" t="n">
        <f aca="false">'🤖 Claude Haiku 3.5'!E97</f>
        <v>0.001901140684</v>
      </c>
      <c r="E97" s="129" t="n">
        <f aca="false">'🤖 Claude Haiku 3.5'!F97</f>
        <v>0</v>
      </c>
      <c r="F97" s="129" t="n">
        <f aca="false">'🤖 Claude Haiku 3.5'!G97</f>
        <v>0</v>
      </c>
      <c r="G97" s="129" t="n">
        <f aca="false">'🤖 Claude Haiku 3.5'!H97</f>
        <v>0</v>
      </c>
      <c r="H97" s="129" t="n">
        <f aca="false">'🤖 Claude Haiku 3.5'!I97</f>
        <v>0</v>
      </c>
      <c r="I97" s="129" t="n">
        <f aca="false">'🤖 Claude Haiku 3.5'!J97</f>
        <v>0</v>
      </c>
    </row>
    <row r="98" customFormat="false" ht="15.75" hidden="false" customHeight="false" outlineLevel="0" collapsed="false">
      <c r="A98" s="128" t="n">
        <f aca="false">'🤖 Claude Haiku 3.5'!$A$97</f>
        <v>0</v>
      </c>
      <c r="B98" s="4" t="str">
        <f aca="false">"Claude Sonnet 3.5"</f>
        <v>Claude Sonnet 3.5</v>
      </c>
      <c r="C98" s="129" t="str">
        <f aca="false">'🤖 Claude Haiku 3.5'!C98</f>
        <v>CoT</v>
      </c>
      <c r="D98" s="153" t="n">
        <f aca="false">'🤖 Claude Haiku 3.5'!E98</f>
        <v>0.001901140684</v>
      </c>
      <c r="E98" s="129" t="n">
        <f aca="false">'🤖 Claude Haiku 3.5'!F98</f>
        <v>0</v>
      </c>
      <c r="F98" s="129" t="n">
        <f aca="false">'🤖 Claude Haiku 3.5'!G98</f>
        <v>0</v>
      </c>
      <c r="G98" s="129" t="n">
        <f aca="false">'🤖 Claude Haiku 3.5'!H98</f>
        <v>0</v>
      </c>
      <c r="H98" s="129" t="n">
        <f aca="false">'🤖 Claude Haiku 3.5'!I98</f>
        <v>0</v>
      </c>
      <c r="I98" s="129" t="n">
        <f aca="false">'🤖 Claude Haiku 3.5'!J98</f>
        <v>0</v>
      </c>
    </row>
    <row r="99" customFormat="false" ht="15.75" hidden="false" customHeight="false" outlineLevel="0" collapsed="false">
      <c r="A99" s="128" t="n">
        <f aca="false">'🤖 Claude Haiku 3.5'!$A$97</f>
        <v>0</v>
      </c>
      <c r="B99" s="4" t="str">
        <f aca="false">"Claude Sonnet 3.5"</f>
        <v>Claude Sonnet 3.5</v>
      </c>
      <c r="C99" s="129" t="str">
        <f aca="false">'🤖 Claude Haiku 3.5'!C99</f>
        <v>5W1H</v>
      </c>
      <c r="D99" s="153" t="n">
        <f aca="false">'🤖 Claude Haiku 3.5'!E99</f>
        <v>0.001901140684</v>
      </c>
      <c r="E99" s="129" t="n">
        <f aca="false">'🤖 Claude Haiku 3.5'!F99</f>
        <v>0</v>
      </c>
      <c r="F99" s="129" t="n">
        <f aca="false">'🤖 Claude Haiku 3.5'!G99</f>
        <v>0</v>
      </c>
      <c r="G99" s="129" t="n">
        <f aca="false">'🤖 Claude Haiku 3.5'!H99</f>
        <v>0</v>
      </c>
      <c r="H99" s="129" t="n">
        <f aca="false">'🤖 Claude Haiku 3.5'!I99</f>
        <v>0</v>
      </c>
      <c r="I99" s="129" t="n">
        <f aca="false">'🤖 Claude Haiku 3.5'!J99</f>
        <v>0</v>
      </c>
    </row>
    <row r="100" customFormat="false" ht="15.75" hidden="false" customHeight="false" outlineLevel="0" collapsed="false">
      <c r="A100" s="128" t="n">
        <f aca="false">'🤖 Claude Haiku 3.5'!$A$97</f>
        <v>0</v>
      </c>
      <c r="B100" s="4" t="str">
        <f aca="false">"Claude Sonnet 3.5"</f>
        <v>Claude Sonnet 3.5</v>
      </c>
      <c r="C100" s="129" t="str">
        <f aca="false">'🤖 Claude Haiku 3.5'!C100</f>
        <v>tldr</v>
      </c>
      <c r="D100" s="153" t="n">
        <f aca="false">'🤖 Claude Haiku 3.5'!E100</f>
        <v>0.001901140684</v>
      </c>
      <c r="E100" s="129" t="n">
        <f aca="false">'🤖 Claude Haiku 3.5'!F100</f>
        <v>0</v>
      </c>
      <c r="F100" s="129" t="n">
        <f aca="false">'🤖 Claude Haiku 3.5'!G100</f>
        <v>0</v>
      </c>
      <c r="G100" s="129" t="n">
        <f aca="false">'🤖 Claude Haiku 3.5'!H100</f>
        <v>0</v>
      </c>
      <c r="H100" s="129" t="n">
        <f aca="false">'🤖 Claude Haiku 3.5'!I100</f>
        <v>0</v>
      </c>
      <c r="I100" s="129" t="n">
        <f aca="false">'🤖 Claude Haiku 3.5'!J100</f>
        <v>0</v>
      </c>
    </row>
    <row r="101" customFormat="false" ht="15.75" hidden="false" customHeight="false" outlineLevel="0" collapsed="false">
      <c r="A101" s="128"/>
      <c r="B101" s="4"/>
      <c r="C101" s="6"/>
      <c r="D101" s="153"/>
      <c r="E101" s="6"/>
      <c r="F101" s="6"/>
      <c r="G101" s="6"/>
      <c r="H101" s="6"/>
      <c r="I101" s="6"/>
    </row>
    <row r="102" customFormat="false" ht="15.75" hidden="false" customHeight="false" outlineLevel="0" collapsed="false">
      <c r="A102" s="128" t="n">
        <f aca="false">'🤖 Claude Haiku 3.5'!$A$102</f>
        <v>0</v>
      </c>
      <c r="B102" s="4" t="str">
        <f aca="false">"Claude Sonnet 3.5"</f>
        <v>Claude Sonnet 3.5</v>
      </c>
      <c r="C102" s="129" t="str">
        <f aca="false">'🤖 Claude Haiku 3.5'!C102</f>
        <v>Base</v>
      </c>
      <c r="D102" s="153" t="n">
        <f aca="false">'🤖 Claude Haiku 3.5'!E102</f>
        <v>0.001901140684</v>
      </c>
      <c r="E102" s="129" t="n">
        <f aca="false">'🤖 Claude Haiku 3.5'!F102</f>
        <v>0</v>
      </c>
      <c r="F102" s="129" t="n">
        <f aca="false">'🤖 Claude Haiku 3.5'!G102</f>
        <v>0</v>
      </c>
      <c r="G102" s="129" t="n">
        <f aca="false">'🤖 Claude Haiku 3.5'!H102</f>
        <v>0</v>
      </c>
      <c r="H102" s="129" t="n">
        <f aca="false">'🤖 Claude Haiku 3.5'!I102</f>
        <v>0</v>
      </c>
      <c r="I102" s="129" t="n">
        <f aca="false">'🤖 Claude Haiku 3.5'!J102</f>
        <v>0</v>
      </c>
    </row>
    <row r="103" customFormat="false" ht="15.75" hidden="false" customHeight="false" outlineLevel="0" collapsed="false">
      <c r="A103" s="128" t="n">
        <f aca="false">'🤖 Claude Haiku 3.5'!$A$102</f>
        <v>0</v>
      </c>
      <c r="B103" s="4" t="str">
        <f aca="false">"Claude Sonnet 3.5"</f>
        <v>Claude Sonnet 3.5</v>
      </c>
      <c r="C103" s="129" t="str">
        <f aca="false">'🤖 Claude Haiku 3.5'!C103</f>
        <v>CoT</v>
      </c>
      <c r="D103" s="153" t="n">
        <f aca="false">'🤖 Claude Haiku 3.5'!E103</f>
        <v>0.001901140684</v>
      </c>
      <c r="E103" s="129" t="n">
        <f aca="false">'🤖 Claude Haiku 3.5'!F103</f>
        <v>0</v>
      </c>
      <c r="F103" s="129" t="n">
        <f aca="false">'🤖 Claude Haiku 3.5'!G103</f>
        <v>0</v>
      </c>
      <c r="G103" s="129" t="n">
        <f aca="false">'🤖 Claude Haiku 3.5'!H103</f>
        <v>0</v>
      </c>
      <c r="H103" s="129" t="n">
        <f aca="false">'🤖 Claude Haiku 3.5'!I103</f>
        <v>0</v>
      </c>
      <c r="I103" s="129" t="n">
        <f aca="false">'🤖 Claude Haiku 3.5'!J103</f>
        <v>0</v>
      </c>
    </row>
    <row r="104" customFormat="false" ht="15.75" hidden="false" customHeight="false" outlineLevel="0" collapsed="false">
      <c r="A104" s="128" t="n">
        <f aca="false">'🤖 Claude Haiku 3.5'!$A$102</f>
        <v>0</v>
      </c>
      <c r="B104" s="4" t="str">
        <f aca="false">"Claude Sonnet 3.5"</f>
        <v>Claude Sonnet 3.5</v>
      </c>
      <c r="C104" s="129" t="str">
        <f aca="false">'🤖 Claude Haiku 3.5'!C104</f>
        <v>5W1H</v>
      </c>
      <c r="D104" s="153" t="n">
        <f aca="false">'🤖 Claude Haiku 3.5'!E104</f>
        <v>0.001901140684</v>
      </c>
      <c r="E104" s="129" t="n">
        <f aca="false">'🤖 Claude Haiku 3.5'!F104</f>
        <v>0</v>
      </c>
      <c r="F104" s="129" t="n">
        <f aca="false">'🤖 Claude Haiku 3.5'!G104</f>
        <v>0</v>
      </c>
      <c r="G104" s="129" t="n">
        <f aca="false">'🤖 Claude Haiku 3.5'!H104</f>
        <v>0</v>
      </c>
      <c r="H104" s="129" t="n">
        <f aca="false">'🤖 Claude Haiku 3.5'!I104</f>
        <v>0</v>
      </c>
      <c r="I104" s="129" t="n">
        <f aca="false">'🤖 Claude Haiku 3.5'!J104</f>
        <v>0</v>
      </c>
    </row>
    <row r="105" customFormat="false" ht="15.75" hidden="false" customHeight="false" outlineLevel="0" collapsed="false">
      <c r="A105" s="128" t="n">
        <f aca="false">'🤖 Claude Haiku 3.5'!$A$102</f>
        <v>0</v>
      </c>
      <c r="B105" s="4" t="str">
        <f aca="false">"Claude Sonnet 3.5"</f>
        <v>Claude Sonnet 3.5</v>
      </c>
      <c r="C105" s="129" t="str">
        <f aca="false">'🤖 Claude Haiku 3.5'!C105</f>
        <v>tldr</v>
      </c>
      <c r="D105" s="153" t="n">
        <f aca="false">'🤖 Claude Haiku 3.5'!E105</f>
        <v>0.001901140684</v>
      </c>
      <c r="E105" s="129" t="n">
        <f aca="false">'🤖 Claude Haiku 3.5'!F105</f>
        <v>0</v>
      </c>
      <c r="F105" s="129" t="n">
        <f aca="false">'🤖 Claude Haiku 3.5'!G105</f>
        <v>0</v>
      </c>
      <c r="G105" s="129" t="n">
        <f aca="false">'🤖 Claude Haiku 3.5'!H105</f>
        <v>0</v>
      </c>
      <c r="H105" s="129" t="n">
        <f aca="false">'🤖 Claude Haiku 3.5'!I105</f>
        <v>0</v>
      </c>
      <c r="I105" s="129" t="n">
        <f aca="false">'🤖 Claude Haiku 3.5'!J105</f>
        <v>0</v>
      </c>
    </row>
    <row r="106" customFormat="false" ht="15.75" hidden="false" customHeight="false" outlineLevel="0" collapsed="false">
      <c r="A106" s="128"/>
      <c r="B106" s="4"/>
      <c r="C106" s="6"/>
      <c r="D106" s="153"/>
      <c r="E106" s="6"/>
      <c r="F106" s="6"/>
      <c r="G106" s="6"/>
      <c r="H106" s="6"/>
      <c r="I106" s="6"/>
    </row>
    <row r="107" customFormat="false" ht="15.75" hidden="false" customHeight="false" outlineLevel="0" collapsed="false">
      <c r="A107" s="128" t="n">
        <f aca="false">'🤖 Claude Haiku 3.5'!$A$107</f>
        <v>0</v>
      </c>
      <c r="B107" s="4" t="str">
        <f aca="false">"Claude Sonnet 3.5"</f>
        <v>Claude Sonnet 3.5</v>
      </c>
      <c r="C107" s="129" t="str">
        <f aca="false">'🤖 Claude Haiku 3.5'!C107</f>
        <v>Base</v>
      </c>
      <c r="D107" s="153" t="n">
        <f aca="false">'🤖 Claude Haiku 3.5'!E107</f>
        <v>0.001901140684</v>
      </c>
      <c r="E107" s="129" t="n">
        <f aca="false">'🤖 Claude Haiku 3.5'!F107</f>
        <v>0</v>
      </c>
      <c r="F107" s="129" t="n">
        <f aca="false">'🤖 Claude Haiku 3.5'!G107</f>
        <v>0</v>
      </c>
      <c r="G107" s="129" t="n">
        <f aca="false">'🤖 Claude Haiku 3.5'!H107</f>
        <v>0</v>
      </c>
      <c r="H107" s="129" t="n">
        <f aca="false">'🤖 Claude Haiku 3.5'!I107</f>
        <v>0</v>
      </c>
      <c r="I107" s="129" t="n">
        <f aca="false">'🤖 Claude Haiku 3.5'!J107</f>
        <v>0</v>
      </c>
    </row>
    <row r="108" customFormat="false" ht="15.75" hidden="false" customHeight="false" outlineLevel="0" collapsed="false">
      <c r="A108" s="128" t="n">
        <f aca="false">'🤖 Claude Haiku 3.5'!$A$107</f>
        <v>0</v>
      </c>
      <c r="B108" s="4" t="str">
        <f aca="false">"Claude Sonnet 3.5"</f>
        <v>Claude Sonnet 3.5</v>
      </c>
      <c r="C108" s="129" t="str">
        <f aca="false">'🤖 Claude Haiku 3.5'!C108</f>
        <v>CoT</v>
      </c>
      <c r="D108" s="153" t="n">
        <f aca="false">'🤖 Claude Haiku 3.5'!E108</f>
        <v>0.001901140684</v>
      </c>
      <c r="E108" s="129" t="n">
        <f aca="false">'🤖 Claude Haiku 3.5'!F108</f>
        <v>0</v>
      </c>
      <c r="F108" s="129" t="n">
        <f aca="false">'🤖 Claude Haiku 3.5'!G108</f>
        <v>0</v>
      </c>
      <c r="G108" s="129" t="n">
        <f aca="false">'🤖 Claude Haiku 3.5'!H108</f>
        <v>0</v>
      </c>
      <c r="H108" s="129" t="n">
        <f aca="false">'🤖 Claude Haiku 3.5'!I108</f>
        <v>0</v>
      </c>
      <c r="I108" s="129" t="n">
        <f aca="false">'🤖 Claude Haiku 3.5'!J108</f>
        <v>0</v>
      </c>
    </row>
    <row r="109" customFormat="false" ht="15.75" hidden="false" customHeight="false" outlineLevel="0" collapsed="false">
      <c r="A109" s="128" t="n">
        <f aca="false">'🤖 Claude Haiku 3.5'!$A$107</f>
        <v>0</v>
      </c>
      <c r="B109" s="4" t="str">
        <f aca="false">"Claude Sonnet 3.5"</f>
        <v>Claude Sonnet 3.5</v>
      </c>
      <c r="C109" s="129" t="str">
        <f aca="false">'🤖 Claude Haiku 3.5'!C109</f>
        <v>5W1H</v>
      </c>
      <c r="D109" s="153" t="n">
        <f aca="false">'🤖 Claude Haiku 3.5'!E109</f>
        <v>0.001901140684</v>
      </c>
      <c r="E109" s="129" t="n">
        <f aca="false">'🤖 Claude Haiku 3.5'!F109</f>
        <v>0</v>
      </c>
      <c r="F109" s="129" t="n">
        <f aca="false">'🤖 Claude Haiku 3.5'!G109</f>
        <v>0</v>
      </c>
      <c r="G109" s="129" t="n">
        <f aca="false">'🤖 Claude Haiku 3.5'!H109</f>
        <v>0</v>
      </c>
      <c r="H109" s="129" t="n">
        <f aca="false">'🤖 Claude Haiku 3.5'!I109</f>
        <v>0</v>
      </c>
      <c r="I109" s="129" t="n">
        <f aca="false">'🤖 Claude Haiku 3.5'!J109</f>
        <v>0</v>
      </c>
    </row>
    <row r="110" customFormat="false" ht="15.75" hidden="false" customHeight="false" outlineLevel="0" collapsed="false">
      <c r="A110" s="128" t="n">
        <f aca="false">'🤖 Claude Haiku 3.5'!$A$107</f>
        <v>0</v>
      </c>
      <c r="B110" s="4" t="str">
        <f aca="false">"Claude Sonnet 3.5"</f>
        <v>Claude Sonnet 3.5</v>
      </c>
      <c r="C110" s="129" t="str">
        <f aca="false">'🤖 Claude Haiku 3.5'!C110</f>
        <v>tldr</v>
      </c>
      <c r="D110" s="153" t="n">
        <f aca="false">'🤖 Claude Haiku 3.5'!E110</f>
        <v>0.001901140684</v>
      </c>
      <c r="E110" s="129" t="n">
        <f aca="false">'🤖 Claude Haiku 3.5'!F110</f>
        <v>0</v>
      </c>
      <c r="F110" s="129" t="n">
        <f aca="false">'🤖 Claude Haiku 3.5'!G110</f>
        <v>0</v>
      </c>
      <c r="G110" s="129" t="n">
        <f aca="false">'🤖 Claude Haiku 3.5'!H110</f>
        <v>0</v>
      </c>
      <c r="H110" s="129" t="n">
        <f aca="false">'🤖 Claude Haiku 3.5'!I110</f>
        <v>0</v>
      </c>
      <c r="I110" s="129" t="n">
        <f aca="false">'🤖 Claude Haiku 3.5'!J110</f>
        <v>0</v>
      </c>
    </row>
    <row r="111" customFormat="false" ht="15.75" hidden="false" customHeight="false" outlineLevel="0" collapsed="false">
      <c r="A111" s="128"/>
      <c r="B111" s="4"/>
      <c r="C111" s="6"/>
      <c r="D111" s="153"/>
      <c r="E111" s="6"/>
      <c r="F111" s="6"/>
      <c r="G111" s="6"/>
      <c r="H111" s="6"/>
      <c r="I111" s="6"/>
    </row>
    <row r="112" customFormat="false" ht="15.75" hidden="false" customHeight="false" outlineLevel="0" collapsed="false">
      <c r="A112" s="128" t="n">
        <f aca="false">'🤖 Claude Haiku 3.5'!$A$112</f>
        <v>0</v>
      </c>
      <c r="B112" s="4" t="str">
        <f aca="false">"Claude Sonnet 3.5"</f>
        <v>Claude Sonnet 3.5</v>
      </c>
      <c r="C112" s="129" t="str">
        <f aca="false">'🤖 Claude Haiku 3.5'!C112</f>
        <v>Base</v>
      </c>
      <c r="D112" s="153" t="n">
        <f aca="false">'🤖 Claude Haiku 3.5'!E112</f>
        <v>0.001901140684</v>
      </c>
      <c r="E112" s="129" t="n">
        <f aca="false">'🤖 Claude Haiku 3.5'!F112</f>
        <v>0</v>
      </c>
      <c r="F112" s="129" t="n">
        <f aca="false">'🤖 Claude Haiku 3.5'!G112</f>
        <v>0</v>
      </c>
      <c r="G112" s="129" t="n">
        <f aca="false">'🤖 Claude Haiku 3.5'!H112</f>
        <v>0</v>
      </c>
      <c r="H112" s="129" t="n">
        <f aca="false">'🤖 Claude Haiku 3.5'!I112</f>
        <v>0</v>
      </c>
      <c r="I112" s="129" t="n">
        <f aca="false">'🤖 Claude Haiku 3.5'!J112</f>
        <v>0</v>
      </c>
    </row>
    <row r="113" customFormat="false" ht="15.75" hidden="false" customHeight="false" outlineLevel="0" collapsed="false">
      <c r="A113" s="128" t="n">
        <f aca="false">'🤖 Claude Haiku 3.5'!$A$112</f>
        <v>0</v>
      </c>
      <c r="B113" s="4" t="str">
        <f aca="false">"Claude Sonnet 3.5"</f>
        <v>Claude Sonnet 3.5</v>
      </c>
      <c r="C113" s="129" t="str">
        <f aca="false">'🤖 Claude Haiku 3.5'!C113</f>
        <v>CoT</v>
      </c>
      <c r="D113" s="153" t="n">
        <f aca="false">'🤖 Claude Haiku 3.5'!E113</f>
        <v>0.001901140684</v>
      </c>
      <c r="E113" s="129" t="n">
        <f aca="false">'🤖 Claude Haiku 3.5'!F113</f>
        <v>0</v>
      </c>
      <c r="F113" s="129" t="n">
        <f aca="false">'🤖 Claude Haiku 3.5'!G113</f>
        <v>0</v>
      </c>
      <c r="G113" s="129" t="n">
        <f aca="false">'🤖 Claude Haiku 3.5'!H113</f>
        <v>0</v>
      </c>
      <c r="H113" s="129" t="n">
        <f aca="false">'🤖 Claude Haiku 3.5'!I113</f>
        <v>0</v>
      </c>
      <c r="I113" s="129" t="n">
        <f aca="false">'🤖 Claude Haiku 3.5'!J113</f>
        <v>0</v>
      </c>
    </row>
    <row r="114" customFormat="false" ht="15.75" hidden="false" customHeight="false" outlineLevel="0" collapsed="false">
      <c r="A114" s="128" t="n">
        <f aca="false">'🤖 Claude Haiku 3.5'!$A$112</f>
        <v>0</v>
      </c>
      <c r="B114" s="4" t="str">
        <f aca="false">"Claude Sonnet 3.5"</f>
        <v>Claude Sonnet 3.5</v>
      </c>
      <c r="C114" s="129" t="str">
        <f aca="false">'🤖 Claude Haiku 3.5'!C114</f>
        <v>5W1H</v>
      </c>
      <c r="D114" s="153" t="n">
        <f aca="false">'🤖 Claude Haiku 3.5'!E114</f>
        <v>0.001901140684</v>
      </c>
      <c r="E114" s="129" t="n">
        <f aca="false">'🤖 Claude Haiku 3.5'!F114</f>
        <v>0</v>
      </c>
      <c r="F114" s="129" t="n">
        <f aca="false">'🤖 Claude Haiku 3.5'!G114</f>
        <v>0</v>
      </c>
      <c r="G114" s="129" t="n">
        <f aca="false">'🤖 Claude Haiku 3.5'!H114</f>
        <v>0</v>
      </c>
      <c r="H114" s="129" t="n">
        <f aca="false">'🤖 Claude Haiku 3.5'!I114</f>
        <v>0</v>
      </c>
      <c r="I114" s="129" t="n">
        <f aca="false">'🤖 Claude Haiku 3.5'!J114</f>
        <v>0</v>
      </c>
    </row>
    <row r="115" customFormat="false" ht="15.75" hidden="false" customHeight="false" outlineLevel="0" collapsed="false">
      <c r="A115" s="128" t="n">
        <f aca="false">'🤖 Claude Haiku 3.5'!$A$112</f>
        <v>0</v>
      </c>
      <c r="B115" s="4" t="str">
        <f aca="false">"Claude Sonnet 3.5"</f>
        <v>Claude Sonnet 3.5</v>
      </c>
      <c r="C115" s="129" t="str">
        <f aca="false">'🤖 Claude Haiku 3.5'!C115</f>
        <v>tldr</v>
      </c>
      <c r="D115" s="153" t="n">
        <f aca="false">'🤖 Claude Haiku 3.5'!E115</f>
        <v>0.001901140684</v>
      </c>
      <c r="E115" s="129" t="n">
        <f aca="false">'🤖 Claude Haiku 3.5'!F115</f>
        <v>0</v>
      </c>
      <c r="F115" s="129" t="n">
        <f aca="false">'🤖 Claude Haiku 3.5'!G115</f>
        <v>0</v>
      </c>
      <c r="G115" s="129" t="n">
        <f aca="false">'🤖 Claude Haiku 3.5'!H115</f>
        <v>0</v>
      </c>
      <c r="H115" s="129" t="n">
        <f aca="false">'🤖 Claude Haiku 3.5'!I115</f>
        <v>0</v>
      </c>
      <c r="I115" s="129" t="n">
        <f aca="false">'🤖 Claude Haiku 3.5'!J115</f>
        <v>0</v>
      </c>
    </row>
    <row r="116" customFormat="false" ht="15.75" hidden="false" customHeight="false" outlineLevel="0" collapsed="false">
      <c r="A116" s="128"/>
      <c r="B116" s="4"/>
      <c r="C116" s="6"/>
      <c r="D116" s="153"/>
      <c r="E116" s="6"/>
      <c r="F116" s="6"/>
      <c r="G116" s="6"/>
      <c r="H116" s="6"/>
      <c r="I116" s="6"/>
    </row>
    <row r="117" customFormat="false" ht="15.75" hidden="false" customHeight="false" outlineLevel="0" collapsed="false">
      <c r="A117" s="128" t="n">
        <f aca="false">'🤖 Claude Haiku 3.5'!$A$117</f>
        <v>0</v>
      </c>
      <c r="B117" s="4" t="str">
        <f aca="false">"Claude Sonnet 3.5"</f>
        <v>Claude Sonnet 3.5</v>
      </c>
      <c r="C117" s="129" t="str">
        <f aca="false">'🤖 Claude Haiku 3.5'!C117</f>
        <v>Base</v>
      </c>
      <c r="D117" s="153" t="n">
        <f aca="false">'🤖 Claude Haiku 3.5'!E117</f>
        <v>0.001901140684</v>
      </c>
      <c r="E117" s="129" t="n">
        <f aca="false">'🤖 Claude Haiku 3.5'!F117</f>
        <v>0</v>
      </c>
      <c r="F117" s="129" t="n">
        <f aca="false">'🤖 Claude Haiku 3.5'!G117</f>
        <v>0</v>
      </c>
      <c r="G117" s="129" t="n">
        <f aca="false">'🤖 Claude Haiku 3.5'!H117</f>
        <v>0</v>
      </c>
      <c r="H117" s="129" t="n">
        <f aca="false">'🤖 Claude Haiku 3.5'!I117</f>
        <v>0</v>
      </c>
      <c r="I117" s="129" t="n">
        <f aca="false">'🤖 Claude Haiku 3.5'!J117</f>
        <v>0</v>
      </c>
    </row>
    <row r="118" customFormat="false" ht="15.75" hidden="false" customHeight="false" outlineLevel="0" collapsed="false">
      <c r="A118" s="128" t="n">
        <f aca="false">'🤖 Claude Haiku 3.5'!$A$117</f>
        <v>0</v>
      </c>
      <c r="B118" s="4" t="str">
        <f aca="false">"Claude Sonnet 3.5"</f>
        <v>Claude Sonnet 3.5</v>
      </c>
      <c r="C118" s="129" t="str">
        <f aca="false">'🤖 Claude Haiku 3.5'!C118</f>
        <v>CoT</v>
      </c>
      <c r="D118" s="153" t="n">
        <f aca="false">'🤖 Claude Haiku 3.5'!E118</f>
        <v>0.001901140684</v>
      </c>
      <c r="E118" s="129" t="n">
        <f aca="false">'🤖 Claude Haiku 3.5'!F118</f>
        <v>0</v>
      </c>
      <c r="F118" s="129" t="n">
        <f aca="false">'🤖 Claude Haiku 3.5'!G118</f>
        <v>0</v>
      </c>
      <c r="G118" s="129" t="n">
        <f aca="false">'🤖 Claude Haiku 3.5'!H118</f>
        <v>0</v>
      </c>
      <c r="H118" s="129" t="n">
        <f aca="false">'🤖 Claude Haiku 3.5'!I118</f>
        <v>0</v>
      </c>
      <c r="I118" s="129" t="n">
        <f aca="false">'🤖 Claude Haiku 3.5'!J118</f>
        <v>0</v>
      </c>
    </row>
    <row r="119" customFormat="false" ht="15.75" hidden="false" customHeight="false" outlineLevel="0" collapsed="false">
      <c r="A119" s="128" t="n">
        <f aca="false">'🤖 Claude Haiku 3.5'!$A$117</f>
        <v>0</v>
      </c>
      <c r="B119" s="4" t="str">
        <f aca="false">"Claude Sonnet 3.5"</f>
        <v>Claude Sonnet 3.5</v>
      </c>
      <c r="C119" s="129" t="str">
        <f aca="false">'🤖 Claude Haiku 3.5'!C119</f>
        <v>5W1H</v>
      </c>
      <c r="D119" s="153" t="n">
        <f aca="false">'🤖 Claude Haiku 3.5'!E119</f>
        <v>0.001901140684</v>
      </c>
      <c r="E119" s="129" t="n">
        <f aca="false">'🤖 Claude Haiku 3.5'!F119</f>
        <v>0</v>
      </c>
      <c r="F119" s="129" t="n">
        <f aca="false">'🤖 Claude Haiku 3.5'!G119</f>
        <v>0</v>
      </c>
      <c r="G119" s="129" t="n">
        <f aca="false">'🤖 Claude Haiku 3.5'!H119</f>
        <v>0</v>
      </c>
      <c r="H119" s="129" t="n">
        <f aca="false">'🤖 Claude Haiku 3.5'!I119</f>
        <v>0</v>
      </c>
      <c r="I119" s="129" t="n">
        <f aca="false">'🤖 Claude Haiku 3.5'!J119</f>
        <v>0</v>
      </c>
    </row>
    <row r="120" customFormat="false" ht="15.75" hidden="false" customHeight="false" outlineLevel="0" collapsed="false">
      <c r="A120" s="128" t="n">
        <f aca="false">'🤖 Claude Haiku 3.5'!$A$117</f>
        <v>0</v>
      </c>
      <c r="B120" s="4" t="str">
        <f aca="false">"Claude Sonnet 3.5"</f>
        <v>Claude Sonnet 3.5</v>
      </c>
      <c r="C120" s="129" t="str">
        <f aca="false">'🤖 Claude Haiku 3.5'!C120</f>
        <v>tldr</v>
      </c>
      <c r="D120" s="153" t="n">
        <f aca="false">'🤖 Claude Haiku 3.5'!E120</f>
        <v>0.001901140684</v>
      </c>
      <c r="E120" s="129" t="n">
        <f aca="false">'🤖 Claude Haiku 3.5'!F120</f>
        <v>0</v>
      </c>
      <c r="F120" s="129" t="n">
        <f aca="false">'🤖 Claude Haiku 3.5'!G120</f>
        <v>0</v>
      </c>
      <c r="G120" s="129" t="n">
        <f aca="false">'🤖 Claude Haiku 3.5'!H120</f>
        <v>0</v>
      </c>
      <c r="H120" s="129" t="n">
        <f aca="false">'🤖 Claude Haiku 3.5'!I120</f>
        <v>0</v>
      </c>
      <c r="I120" s="129" t="n">
        <f aca="false">'🤖 Claude Haiku 3.5'!J120</f>
        <v>0</v>
      </c>
    </row>
    <row r="121" customFormat="false" ht="15.75" hidden="false" customHeight="false" outlineLevel="0" collapsed="false">
      <c r="A121" s="128"/>
      <c r="B121" s="4"/>
      <c r="C121" s="6"/>
      <c r="D121" s="153"/>
      <c r="E121" s="6"/>
      <c r="F121" s="6"/>
      <c r="G121" s="6"/>
      <c r="H121" s="6"/>
      <c r="I121" s="6"/>
    </row>
    <row r="122" customFormat="false" ht="15.75" hidden="false" customHeight="false" outlineLevel="0" collapsed="false">
      <c r="A122" s="128" t="n">
        <f aca="false">'🤖 Claude Haiku 3.5'!$A$122</f>
        <v>0</v>
      </c>
      <c r="B122" s="4" t="str">
        <f aca="false">"Claude Sonnet 3.5"</f>
        <v>Claude Sonnet 3.5</v>
      </c>
      <c r="C122" s="129" t="str">
        <f aca="false">'🤖 Claude Haiku 3.5'!C122</f>
        <v>Base</v>
      </c>
      <c r="D122" s="153" t="n">
        <f aca="false">'🤖 Claude Haiku 3.5'!E122</f>
        <v>0.001901140684</v>
      </c>
      <c r="E122" s="129" t="n">
        <f aca="false">'🤖 Claude Haiku 3.5'!F122</f>
        <v>0</v>
      </c>
      <c r="F122" s="129" t="n">
        <f aca="false">'🤖 Claude Haiku 3.5'!G122</f>
        <v>0</v>
      </c>
      <c r="G122" s="129" t="n">
        <f aca="false">'🤖 Claude Haiku 3.5'!H122</f>
        <v>0</v>
      </c>
      <c r="H122" s="129" t="n">
        <f aca="false">'🤖 Claude Haiku 3.5'!I122</f>
        <v>0</v>
      </c>
      <c r="I122" s="129" t="n">
        <f aca="false">'🤖 Claude Haiku 3.5'!J122</f>
        <v>0</v>
      </c>
    </row>
    <row r="123" customFormat="false" ht="15.75" hidden="false" customHeight="false" outlineLevel="0" collapsed="false">
      <c r="A123" s="128" t="n">
        <f aca="false">'🤖 Claude Haiku 3.5'!$A$122</f>
        <v>0</v>
      </c>
      <c r="B123" s="4" t="str">
        <f aca="false">"Claude Sonnet 3.5"</f>
        <v>Claude Sonnet 3.5</v>
      </c>
      <c r="C123" s="129" t="str">
        <f aca="false">'🤖 Claude Haiku 3.5'!C123</f>
        <v>CoT</v>
      </c>
      <c r="D123" s="153" t="n">
        <f aca="false">'🤖 Claude Haiku 3.5'!E123</f>
        <v>0.001901140684</v>
      </c>
      <c r="E123" s="129" t="n">
        <f aca="false">'🤖 Claude Haiku 3.5'!F123</f>
        <v>0</v>
      </c>
      <c r="F123" s="129" t="n">
        <f aca="false">'🤖 Claude Haiku 3.5'!G123</f>
        <v>0</v>
      </c>
      <c r="G123" s="129" t="n">
        <f aca="false">'🤖 Claude Haiku 3.5'!H123</f>
        <v>0</v>
      </c>
      <c r="H123" s="129" t="n">
        <f aca="false">'🤖 Claude Haiku 3.5'!I123</f>
        <v>0</v>
      </c>
      <c r="I123" s="129" t="n">
        <f aca="false">'🤖 Claude Haiku 3.5'!J123</f>
        <v>0</v>
      </c>
    </row>
    <row r="124" customFormat="false" ht="15.75" hidden="false" customHeight="false" outlineLevel="0" collapsed="false">
      <c r="A124" s="128" t="n">
        <f aca="false">'🤖 Claude Haiku 3.5'!$A$122</f>
        <v>0</v>
      </c>
      <c r="B124" s="4" t="str">
        <f aca="false">"Claude Sonnet 3.5"</f>
        <v>Claude Sonnet 3.5</v>
      </c>
      <c r="C124" s="129" t="str">
        <f aca="false">'🤖 Claude Haiku 3.5'!C124</f>
        <v>5W1H</v>
      </c>
      <c r="D124" s="153" t="n">
        <f aca="false">'🤖 Claude Haiku 3.5'!E124</f>
        <v>0.001901140684</v>
      </c>
      <c r="E124" s="129" t="n">
        <f aca="false">'🤖 Claude Haiku 3.5'!F124</f>
        <v>0</v>
      </c>
      <c r="F124" s="129" t="n">
        <f aca="false">'🤖 Claude Haiku 3.5'!G124</f>
        <v>0</v>
      </c>
      <c r="G124" s="129" t="n">
        <f aca="false">'🤖 Claude Haiku 3.5'!H124</f>
        <v>0</v>
      </c>
      <c r="H124" s="129" t="n">
        <f aca="false">'🤖 Claude Haiku 3.5'!I124</f>
        <v>0</v>
      </c>
      <c r="I124" s="129" t="n">
        <f aca="false">'🤖 Claude Haiku 3.5'!J124</f>
        <v>0</v>
      </c>
    </row>
    <row r="125" customFormat="false" ht="15.75" hidden="false" customHeight="false" outlineLevel="0" collapsed="false">
      <c r="A125" s="128" t="n">
        <f aca="false">'🤖 Claude Haiku 3.5'!$A$122</f>
        <v>0</v>
      </c>
      <c r="B125" s="4" t="str">
        <f aca="false">"Claude Sonnet 3.5"</f>
        <v>Claude Sonnet 3.5</v>
      </c>
      <c r="C125" s="129" t="str">
        <f aca="false">'🤖 Claude Haiku 3.5'!C125</f>
        <v>tldr</v>
      </c>
      <c r="D125" s="153" t="n">
        <f aca="false">'🤖 Claude Haiku 3.5'!E125</f>
        <v>0.001901140684</v>
      </c>
      <c r="E125" s="129" t="n">
        <f aca="false">'🤖 Claude Haiku 3.5'!F125</f>
        <v>0</v>
      </c>
      <c r="F125" s="129" t="n">
        <f aca="false">'🤖 Claude Haiku 3.5'!G125</f>
        <v>0</v>
      </c>
      <c r="G125" s="129" t="n">
        <f aca="false">'🤖 Claude Haiku 3.5'!H125</f>
        <v>0</v>
      </c>
      <c r="H125" s="129" t="n">
        <f aca="false">'🤖 Claude Haiku 3.5'!I125</f>
        <v>0</v>
      </c>
      <c r="I125" s="129" t="n">
        <f aca="false">'🤖 Claude Haiku 3.5'!J125</f>
        <v>0</v>
      </c>
    </row>
    <row r="126" customFormat="false" ht="15.75" hidden="false" customHeight="false" outlineLevel="0" collapsed="false">
      <c r="A126" s="128"/>
      <c r="B126" s="4"/>
      <c r="C126" s="6"/>
      <c r="D126" s="153"/>
      <c r="E126" s="6"/>
      <c r="F126" s="6"/>
      <c r="G126" s="6"/>
      <c r="H126" s="6"/>
      <c r="I126" s="6"/>
    </row>
    <row r="127" customFormat="false" ht="15.75" hidden="false" customHeight="false" outlineLevel="0" collapsed="false">
      <c r="A127" s="128" t="n">
        <f aca="false">'🤖 Claude Haiku 3.5'!$A$127</f>
        <v>0</v>
      </c>
      <c r="B127" s="4" t="str">
        <f aca="false">"Claude Sonnet 3.5"</f>
        <v>Claude Sonnet 3.5</v>
      </c>
      <c r="C127" s="129" t="str">
        <f aca="false">'🤖 Claude Haiku 3.5'!C127</f>
        <v>Base</v>
      </c>
      <c r="D127" s="153" t="n">
        <f aca="false">'🤖 Claude Haiku 3.5'!E127</f>
        <v>0.001901140684</v>
      </c>
      <c r="E127" s="129" t="n">
        <f aca="false">'🤖 Claude Haiku 3.5'!F127</f>
        <v>0</v>
      </c>
      <c r="F127" s="129" t="n">
        <f aca="false">'🤖 Claude Haiku 3.5'!G127</f>
        <v>0</v>
      </c>
      <c r="G127" s="129" t="n">
        <f aca="false">'🤖 Claude Haiku 3.5'!H127</f>
        <v>0</v>
      </c>
      <c r="H127" s="129" t="n">
        <f aca="false">'🤖 Claude Haiku 3.5'!I127</f>
        <v>0</v>
      </c>
      <c r="I127" s="129" t="n">
        <f aca="false">'🤖 Claude Haiku 3.5'!J127</f>
        <v>0</v>
      </c>
    </row>
    <row r="128" customFormat="false" ht="15.75" hidden="false" customHeight="false" outlineLevel="0" collapsed="false">
      <c r="A128" s="128" t="n">
        <f aca="false">'🤖 Claude Haiku 3.5'!$A$127</f>
        <v>0</v>
      </c>
      <c r="B128" s="4" t="str">
        <f aca="false">"Claude Sonnet 3.5"</f>
        <v>Claude Sonnet 3.5</v>
      </c>
      <c r="C128" s="129" t="str">
        <f aca="false">'🤖 Claude Haiku 3.5'!C128</f>
        <v>CoT</v>
      </c>
      <c r="D128" s="153" t="n">
        <f aca="false">'🤖 Claude Haiku 3.5'!E128</f>
        <v>0.001901140684</v>
      </c>
      <c r="E128" s="129" t="n">
        <f aca="false">'🤖 Claude Haiku 3.5'!F128</f>
        <v>0</v>
      </c>
      <c r="F128" s="129" t="n">
        <f aca="false">'🤖 Claude Haiku 3.5'!G128</f>
        <v>0</v>
      </c>
      <c r="G128" s="129" t="n">
        <f aca="false">'🤖 Claude Haiku 3.5'!H128</f>
        <v>0</v>
      </c>
      <c r="H128" s="129" t="n">
        <f aca="false">'🤖 Claude Haiku 3.5'!I128</f>
        <v>0</v>
      </c>
      <c r="I128" s="129" t="n">
        <f aca="false">'🤖 Claude Haiku 3.5'!J128</f>
        <v>0</v>
      </c>
    </row>
    <row r="129" customFormat="false" ht="15.75" hidden="false" customHeight="false" outlineLevel="0" collapsed="false">
      <c r="A129" s="128" t="n">
        <f aca="false">'🤖 Claude Haiku 3.5'!$A$127</f>
        <v>0</v>
      </c>
      <c r="B129" s="4" t="str">
        <f aca="false">"Claude Sonnet 3.5"</f>
        <v>Claude Sonnet 3.5</v>
      </c>
      <c r="C129" s="129" t="str">
        <f aca="false">'🤖 Claude Haiku 3.5'!C129</f>
        <v>5W1H</v>
      </c>
      <c r="D129" s="153" t="n">
        <f aca="false">'🤖 Claude Haiku 3.5'!E129</f>
        <v>0.001901140684</v>
      </c>
      <c r="E129" s="129" t="n">
        <f aca="false">'🤖 Claude Haiku 3.5'!F129</f>
        <v>0</v>
      </c>
      <c r="F129" s="129" t="n">
        <f aca="false">'🤖 Claude Haiku 3.5'!G129</f>
        <v>0</v>
      </c>
      <c r="G129" s="129" t="n">
        <f aca="false">'🤖 Claude Haiku 3.5'!H129</f>
        <v>0</v>
      </c>
      <c r="H129" s="129" t="n">
        <f aca="false">'🤖 Claude Haiku 3.5'!I129</f>
        <v>0</v>
      </c>
      <c r="I129" s="129" t="n">
        <f aca="false">'🤖 Claude Haiku 3.5'!J129</f>
        <v>0</v>
      </c>
    </row>
    <row r="130" customFormat="false" ht="15.75" hidden="false" customHeight="false" outlineLevel="0" collapsed="false">
      <c r="A130" s="128" t="n">
        <f aca="false">'🤖 Claude Haiku 3.5'!$A$127</f>
        <v>0</v>
      </c>
      <c r="B130" s="4" t="str">
        <f aca="false">"Claude Sonnet 3.5"</f>
        <v>Claude Sonnet 3.5</v>
      </c>
      <c r="C130" s="129" t="str">
        <f aca="false">'🤖 Claude Haiku 3.5'!C130</f>
        <v>tldr</v>
      </c>
      <c r="D130" s="153" t="n">
        <f aca="false">'🤖 Claude Haiku 3.5'!E130</f>
        <v>0.001901140684</v>
      </c>
      <c r="E130" s="129" t="n">
        <f aca="false">'🤖 Claude Haiku 3.5'!F130</f>
        <v>0</v>
      </c>
      <c r="F130" s="129" t="n">
        <f aca="false">'🤖 Claude Haiku 3.5'!G130</f>
        <v>0</v>
      </c>
      <c r="G130" s="129" t="n">
        <f aca="false">'🤖 Claude Haiku 3.5'!H130</f>
        <v>0</v>
      </c>
      <c r="H130" s="129" t="n">
        <f aca="false">'🤖 Claude Haiku 3.5'!I130</f>
        <v>0</v>
      </c>
      <c r="I130" s="129" t="n">
        <f aca="false">'🤖 Claude Haiku 3.5'!J130</f>
        <v>0</v>
      </c>
    </row>
    <row r="131" customFormat="false" ht="15.75" hidden="false" customHeight="false" outlineLevel="0" collapsed="false">
      <c r="A131" s="128"/>
      <c r="B131" s="4"/>
      <c r="C131" s="6"/>
      <c r="D131" s="153"/>
      <c r="E131" s="6"/>
      <c r="F131" s="6"/>
      <c r="G131" s="6"/>
      <c r="H131" s="6"/>
      <c r="I131" s="6"/>
    </row>
    <row r="132" customFormat="false" ht="15.75" hidden="false" customHeight="false" outlineLevel="0" collapsed="false">
      <c r="A132" s="128" t="n">
        <f aca="false">'🤖 Claude Haiku 3.5'!$A$132</f>
        <v>0</v>
      </c>
      <c r="B132" s="4" t="str">
        <f aca="false">"Claude Sonnet 3.5"</f>
        <v>Claude Sonnet 3.5</v>
      </c>
      <c r="C132" s="129" t="str">
        <f aca="false">'🤖 Claude Haiku 3.5'!C132</f>
        <v>Base</v>
      </c>
      <c r="D132" s="153" t="n">
        <f aca="false">'🤖 Claude Haiku 3.5'!E132</f>
        <v>0.001901140684</v>
      </c>
      <c r="E132" s="129" t="n">
        <f aca="false">'🤖 Claude Haiku 3.5'!F132</f>
        <v>0</v>
      </c>
      <c r="F132" s="129" t="n">
        <f aca="false">'🤖 Claude Haiku 3.5'!G132</f>
        <v>0</v>
      </c>
      <c r="G132" s="129" t="n">
        <f aca="false">'🤖 Claude Haiku 3.5'!H132</f>
        <v>0</v>
      </c>
      <c r="H132" s="129" t="n">
        <f aca="false">'🤖 Claude Haiku 3.5'!I132</f>
        <v>0</v>
      </c>
      <c r="I132" s="129" t="n">
        <f aca="false">'🤖 Claude Haiku 3.5'!J132</f>
        <v>0</v>
      </c>
    </row>
    <row r="133" customFormat="false" ht="15.75" hidden="false" customHeight="false" outlineLevel="0" collapsed="false">
      <c r="A133" s="128" t="n">
        <f aca="false">'🤖 Claude Haiku 3.5'!$A$132</f>
        <v>0</v>
      </c>
      <c r="B133" s="4" t="str">
        <f aca="false">"Claude Sonnet 3.5"</f>
        <v>Claude Sonnet 3.5</v>
      </c>
      <c r="C133" s="129" t="str">
        <f aca="false">'🤖 Claude Haiku 3.5'!C133</f>
        <v>CoT</v>
      </c>
      <c r="D133" s="153" t="n">
        <f aca="false">'🤖 Claude Haiku 3.5'!E133</f>
        <v>0.001901140684</v>
      </c>
      <c r="E133" s="129" t="n">
        <f aca="false">'🤖 Claude Haiku 3.5'!F133</f>
        <v>0</v>
      </c>
      <c r="F133" s="129" t="n">
        <f aca="false">'🤖 Claude Haiku 3.5'!G133</f>
        <v>0</v>
      </c>
      <c r="G133" s="129" t="n">
        <f aca="false">'🤖 Claude Haiku 3.5'!H133</f>
        <v>0</v>
      </c>
      <c r="H133" s="129" t="n">
        <f aca="false">'🤖 Claude Haiku 3.5'!I133</f>
        <v>0</v>
      </c>
      <c r="I133" s="129" t="n">
        <f aca="false">'🤖 Claude Haiku 3.5'!J133</f>
        <v>0</v>
      </c>
    </row>
    <row r="134" customFormat="false" ht="15.75" hidden="false" customHeight="false" outlineLevel="0" collapsed="false">
      <c r="A134" s="128" t="n">
        <f aca="false">'🤖 Claude Haiku 3.5'!$A$132</f>
        <v>0</v>
      </c>
      <c r="B134" s="4" t="str">
        <f aca="false">"Claude Sonnet 3.5"</f>
        <v>Claude Sonnet 3.5</v>
      </c>
      <c r="C134" s="129" t="str">
        <f aca="false">'🤖 Claude Haiku 3.5'!C134</f>
        <v>5W1H</v>
      </c>
      <c r="D134" s="153" t="n">
        <f aca="false">'🤖 Claude Haiku 3.5'!E134</f>
        <v>0.001901140684</v>
      </c>
      <c r="E134" s="129" t="n">
        <f aca="false">'🤖 Claude Haiku 3.5'!F134</f>
        <v>0</v>
      </c>
      <c r="F134" s="129" t="n">
        <f aca="false">'🤖 Claude Haiku 3.5'!G134</f>
        <v>0</v>
      </c>
      <c r="G134" s="129" t="n">
        <f aca="false">'🤖 Claude Haiku 3.5'!H134</f>
        <v>0</v>
      </c>
      <c r="H134" s="129" t="n">
        <f aca="false">'🤖 Claude Haiku 3.5'!I134</f>
        <v>0</v>
      </c>
      <c r="I134" s="129" t="n">
        <f aca="false">'🤖 Claude Haiku 3.5'!J134</f>
        <v>0</v>
      </c>
    </row>
    <row r="135" customFormat="false" ht="15.75" hidden="false" customHeight="false" outlineLevel="0" collapsed="false">
      <c r="A135" s="128" t="n">
        <f aca="false">'🤖 Claude Haiku 3.5'!$A$132</f>
        <v>0</v>
      </c>
      <c r="B135" s="4" t="str">
        <f aca="false">"Claude Sonnet 3.5"</f>
        <v>Claude Sonnet 3.5</v>
      </c>
      <c r="C135" s="129" t="str">
        <f aca="false">'🤖 Claude Haiku 3.5'!C135</f>
        <v>tldr</v>
      </c>
      <c r="D135" s="153" t="n">
        <f aca="false">'🤖 Claude Haiku 3.5'!E135</f>
        <v>0.001901140684</v>
      </c>
      <c r="E135" s="129" t="n">
        <f aca="false">'🤖 Claude Haiku 3.5'!F135</f>
        <v>0</v>
      </c>
      <c r="F135" s="129" t="n">
        <f aca="false">'🤖 Claude Haiku 3.5'!G135</f>
        <v>0</v>
      </c>
      <c r="G135" s="129" t="n">
        <f aca="false">'🤖 Claude Haiku 3.5'!H135</f>
        <v>0</v>
      </c>
      <c r="H135" s="129" t="n">
        <f aca="false">'🤖 Claude Haiku 3.5'!I135</f>
        <v>0</v>
      </c>
      <c r="I135" s="129" t="n">
        <f aca="false">'🤖 Claude Haiku 3.5'!J135</f>
        <v>0</v>
      </c>
    </row>
    <row r="136" customFormat="false" ht="15.75" hidden="false" customHeight="false" outlineLevel="0" collapsed="false">
      <c r="A136" s="128"/>
      <c r="B136" s="4"/>
      <c r="C136" s="6"/>
      <c r="D136" s="153"/>
      <c r="E136" s="6"/>
      <c r="F136" s="6"/>
      <c r="G136" s="6"/>
      <c r="H136" s="6"/>
      <c r="I136" s="6"/>
    </row>
    <row r="137" customFormat="false" ht="15.75" hidden="false" customHeight="false" outlineLevel="0" collapsed="false">
      <c r="A137" s="128" t="n">
        <f aca="false">'🤖 Claude Haiku 3.5'!$A$137</f>
        <v>0</v>
      </c>
      <c r="B137" s="4" t="str">
        <f aca="false">"Claude Sonnet 3.5"</f>
        <v>Claude Sonnet 3.5</v>
      </c>
      <c r="C137" s="129" t="str">
        <f aca="false">'🤖 Claude Haiku 3.5'!C137</f>
        <v>Base</v>
      </c>
      <c r="D137" s="153" t="n">
        <f aca="false">'🤖 Claude Haiku 3.5'!E137</f>
        <v>0.001901140684</v>
      </c>
      <c r="E137" s="129" t="n">
        <f aca="false">'🤖 Claude Haiku 3.5'!F137</f>
        <v>0</v>
      </c>
      <c r="F137" s="129" t="n">
        <f aca="false">'🤖 Claude Haiku 3.5'!G137</f>
        <v>0</v>
      </c>
      <c r="G137" s="129" t="n">
        <f aca="false">'🤖 Claude Haiku 3.5'!H137</f>
        <v>0</v>
      </c>
      <c r="H137" s="129" t="n">
        <f aca="false">'🤖 Claude Haiku 3.5'!I137</f>
        <v>0</v>
      </c>
      <c r="I137" s="129" t="n">
        <f aca="false">'🤖 Claude Haiku 3.5'!J137</f>
        <v>0</v>
      </c>
    </row>
    <row r="138" customFormat="false" ht="15.75" hidden="false" customHeight="false" outlineLevel="0" collapsed="false">
      <c r="A138" s="128" t="n">
        <f aca="false">'🤖 Claude Haiku 3.5'!$A$137</f>
        <v>0</v>
      </c>
      <c r="B138" s="4" t="str">
        <f aca="false">"Claude Sonnet 3.5"</f>
        <v>Claude Sonnet 3.5</v>
      </c>
      <c r="C138" s="129" t="str">
        <f aca="false">'🤖 Claude Haiku 3.5'!C138</f>
        <v>CoT</v>
      </c>
      <c r="D138" s="153" t="n">
        <f aca="false">'🤖 Claude Haiku 3.5'!E138</f>
        <v>0.001901140684</v>
      </c>
      <c r="E138" s="129" t="n">
        <f aca="false">'🤖 Claude Haiku 3.5'!F138</f>
        <v>0</v>
      </c>
      <c r="F138" s="129" t="n">
        <f aca="false">'🤖 Claude Haiku 3.5'!G138</f>
        <v>0</v>
      </c>
      <c r="G138" s="129" t="n">
        <f aca="false">'🤖 Claude Haiku 3.5'!H138</f>
        <v>0</v>
      </c>
      <c r="H138" s="129" t="n">
        <f aca="false">'🤖 Claude Haiku 3.5'!I138</f>
        <v>0</v>
      </c>
      <c r="I138" s="129" t="n">
        <f aca="false">'🤖 Claude Haiku 3.5'!J138</f>
        <v>0</v>
      </c>
    </row>
    <row r="139" customFormat="false" ht="15.75" hidden="false" customHeight="false" outlineLevel="0" collapsed="false">
      <c r="A139" s="128" t="n">
        <f aca="false">'🤖 Claude Haiku 3.5'!$A$137</f>
        <v>0</v>
      </c>
      <c r="B139" s="4" t="str">
        <f aca="false">"Claude Sonnet 3.5"</f>
        <v>Claude Sonnet 3.5</v>
      </c>
      <c r="C139" s="129" t="str">
        <f aca="false">'🤖 Claude Haiku 3.5'!C139</f>
        <v>5W1H</v>
      </c>
      <c r="D139" s="153" t="n">
        <f aca="false">'🤖 Claude Haiku 3.5'!E139</f>
        <v>0.001901140684</v>
      </c>
      <c r="E139" s="129" t="n">
        <f aca="false">'🤖 Claude Haiku 3.5'!F139</f>
        <v>0</v>
      </c>
      <c r="F139" s="129" t="n">
        <f aca="false">'🤖 Claude Haiku 3.5'!G139</f>
        <v>0</v>
      </c>
      <c r="G139" s="129" t="n">
        <f aca="false">'🤖 Claude Haiku 3.5'!H139</f>
        <v>0</v>
      </c>
      <c r="H139" s="129" t="n">
        <f aca="false">'🤖 Claude Haiku 3.5'!I139</f>
        <v>0</v>
      </c>
      <c r="I139" s="129" t="n">
        <f aca="false">'🤖 Claude Haiku 3.5'!J139</f>
        <v>0</v>
      </c>
    </row>
    <row r="140" customFormat="false" ht="15.75" hidden="false" customHeight="false" outlineLevel="0" collapsed="false">
      <c r="A140" s="128" t="n">
        <f aca="false">'🤖 Claude Haiku 3.5'!$A$137</f>
        <v>0</v>
      </c>
      <c r="B140" s="4" t="str">
        <f aca="false">"Claude Sonnet 3.5"</f>
        <v>Claude Sonnet 3.5</v>
      </c>
      <c r="C140" s="129" t="str">
        <f aca="false">'🤖 Claude Haiku 3.5'!C140</f>
        <v>tldr</v>
      </c>
      <c r="D140" s="153" t="n">
        <f aca="false">'🤖 Claude Haiku 3.5'!E140</f>
        <v>0.001901140684</v>
      </c>
      <c r="E140" s="129" t="n">
        <f aca="false">'🤖 Claude Haiku 3.5'!F140</f>
        <v>0</v>
      </c>
      <c r="F140" s="129" t="n">
        <f aca="false">'🤖 Claude Haiku 3.5'!G140</f>
        <v>0</v>
      </c>
      <c r="G140" s="129" t="n">
        <f aca="false">'🤖 Claude Haiku 3.5'!H140</f>
        <v>0</v>
      </c>
      <c r="H140" s="129" t="n">
        <f aca="false">'🤖 Claude Haiku 3.5'!I140</f>
        <v>0</v>
      </c>
      <c r="I140" s="129" t="n">
        <f aca="false">'🤖 Claude Haiku 3.5'!J140</f>
        <v>0</v>
      </c>
    </row>
    <row r="141" customFormat="false" ht="15.75" hidden="false" customHeight="false" outlineLevel="0" collapsed="false">
      <c r="A141" s="128"/>
      <c r="B141" s="4"/>
      <c r="C141" s="6"/>
      <c r="D141" s="153"/>
      <c r="E141" s="6"/>
      <c r="F141" s="6"/>
      <c r="G141" s="6"/>
      <c r="H141" s="6"/>
      <c r="I141" s="6"/>
    </row>
    <row r="142" customFormat="false" ht="15.75" hidden="false" customHeight="false" outlineLevel="0" collapsed="false">
      <c r="A142" s="128" t="n">
        <f aca="false">'🤖 Claude Haiku 3.5'!$A$142</f>
        <v>0</v>
      </c>
      <c r="B142" s="4" t="str">
        <f aca="false">"Claude Sonnet 3.5"</f>
        <v>Claude Sonnet 3.5</v>
      </c>
      <c r="C142" s="129" t="str">
        <f aca="false">'🤖 Claude Haiku 3.5'!C142</f>
        <v>Base</v>
      </c>
      <c r="D142" s="153" t="n">
        <f aca="false">'🤖 Claude Haiku 3.5'!E142</f>
        <v>0.001901140684</v>
      </c>
      <c r="E142" s="129" t="n">
        <f aca="false">'🤖 Claude Haiku 3.5'!F142</f>
        <v>0</v>
      </c>
      <c r="F142" s="129" t="n">
        <f aca="false">'🤖 Claude Haiku 3.5'!G142</f>
        <v>0</v>
      </c>
      <c r="G142" s="129" t="n">
        <f aca="false">'🤖 Claude Haiku 3.5'!H142</f>
        <v>0</v>
      </c>
      <c r="H142" s="129" t="n">
        <f aca="false">'🤖 Claude Haiku 3.5'!I142</f>
        <v>0</v>
      </c>
      <c r="I142" s="129" t="n">
        <f aca="false">'🤖 Claude Haiku 3.5'!J142</f>
        <v>0</v>
      </c>
    </row>
    <row r="143" customFormat="false" ht="15.75" hidden="false" customHeight="false" outlineLevel="0" collapsed="false">
      <c r="A143" s="128" t="n">
        <f aca="false">'🤖 Claude Haiku 3.5'!$A$142</f>
        <v>0</v>
      </c>
      <c r="B143" s="4" t="str">
        <f aca="false">"Claude Sonnet 3.5"</f>
        <v>Claude Sonnet 3.5</v>
      </c>
      <c r="C143" s="129" t="str">
        <f aca="false">'🤖 Claude Haiku 3.5'!C143</f>
        <v>CoT</v>
      </c>
      <c r="D143" s="153" t="n">
        <f aca="false">'🤖 Claude Haiku 3.5'!E143</f>
        <v>0.001901140684</v>
      </c>
      <c r="E143" s="129" t="n">
        <f aca="false">'🤖 Claude Haiku 3.5'!F143</f>
        <v>0</v>
      </c>
      <c r="F143" s="129" t="n">
        <f aca="false">'🤖 Claude Haiku 3.5'!G143</f>
        <v>0</v>
      </c>
      <c r="G143" s="129" t="n">
        <f aca="false">'🤖 Claude Haiku 3.5'!H143</f>
        <v>0</v>
      </c>
      <c r="H143" s="129" t="n">
        <f aca="false">'🤖 Claude Haiku 3.5'!I143</f>
        <v>0</v>
      </c>
      <c r="I143" s="129" t="n">
        <f aca="false">'🤖 Claude Haiku 3.5'!J143</f>
        <v>0</v>
      </c>
    </row>
    <row r="144" customFormat="false" ht="15.75" hidden="false" customHeight="false" outlineLevel="0" collapsed="false">
      <c r="A144" s="128" t="n">
        <f aca="false">'🤖 Claude Haiku 3.5'!$A$142</f>
        <v>0</v>
      </c>
      <c r="B144" s="4" t="str">
        <f aca="false">"Claude Sonnet 3.5"</f>
        <v>Claude Sonnet 3.5</v>
      </c>
      <c r="C144" s="129" t="str">
        <f aca="false">'🤖 Claude Haiku 3.5'!C144</f>
        <v>5W1H</v>
      </c>
      <c r="D144" s="153" t="n">
        <f aca="false">'🤖 Claude Haiku 3.5'!E144</f>
        <v>0.001901140684</v>
      </c>
      <c r="E144" s="129" t="n">
        <f aca="false">'🤖 Claude Haiku 3.5'!F144</f>
        <v>0</v>
      </c>
      <c r="F144" s="129" t="n">
        <f aca="false">'🤖 Claude Haiku 3.5'!G144</f>
        <v>0</v>
      </c>
      <c r="G144" s="129" t="n">
        <f aca="false">'🤖 Claude Haiku 3.5'!H144</f>
        <v>0</v>
      </c>
      <c r="H144" s="129" t="n">
        <f aca="false">'🤖 Claude Haiku 3.5'!I144</f>
        <v>0</v>
      </c>
      <c r="I144" s="129" t="n">
        <f aca="false">'🤖 Claude Haiku 3.5'!J144</f>
        <v>0</v>
      </c>
    </row>
    <row r="145" customFormat="false" ht="15.75" hidden="false" customHeight="false" outlineLevel="0" collapsed="false">
      <c r="A145" s="128" t="n">
        <f aca="false">'🤖 Claude Haiku 3.5'!$A$142</f>
        <v>0</v>
      </c>
      <c r="B145" s="4" t="str">
        <f aca="false">"Claude Sonnet 3.5"</f>
        <v>Claude Sonnet 3.5</v>
      </c>
      <c r="C145" s="129" t="str">
        <f aca="false">'🤖 Claude Haiku 3.5'!C145</f>
        <v>tldr</v>
      </c>
      <c r="D145" s="153" t="n">
        <f aca="false">'🤖 Claude Haiku 3.5'!E145</f>
        <v>0.001901140684</v>
      </c>
      <c r="E145" s="129" t="n">
        <f aca="false">'🤖 Claude Haiku 3.5'!F145</f>
        <v>0</v>
      </c>
      <c r="F145" s="129" t="n">
        <f aca="false">'🤖 Claude Haiku 3.5'!G145</f>
        <v>0</v>
      </c>
      <c r="G145" s="129" t="n">
        <f aca="false">'🤖 Claude Haiku 3.5'!H145</f>
        <v>0</v>
      </c>
      <c r="H145" s="129" t="n">
        <f aca="false">'🤖 Claude Haiku 3.5'!I145</f>
        <v>0</v>
      </c>
      <c r="I145" s="129" t="n">
        <f aca="false">'🤖 Claude Haiku 3.5'!J145</f>
        <v>0</v>
      </c>
    </row>
    <row r="146" customFormat="false" ht="15.75" hidden="false" customHeight="false" outlineLevel="0" collapsed="false">
      <c r="A146" s="128"/>
      <c r="B146" s="4"/>
      <c r="C146" s="6"/>
      <c r="D146" s="153"/>
      <c r="E146" s="6"/>
      <c r="F146" s="6"/>
      <c r="G146" s="6"/>
      <c r="H146" s="6"/>
      <c r="I146" s="6"/>
    </row>
    <row r="147" customFormat="false" ht="15.75" hidden="false" customHeight="false" outlineLevel="0" collapsed="false">
      <c r="A147" s="128" t="n">
        <f aca="false">'🤖 Claude Haiku 3.5'!$A$147</f>
        <v>0</v>
      </c>
      <c r="B147" s="4" t="str">
        <f aca="false">"Claude Sonnet 3.5"</f>
        <v>Claude Sonnet 3.5</v>
      </c>
      <c r="C147" s="129" t="str">
        <f aca="false">'🤖 Claude Haiku 3.5'!C147</f>
        <v>Base</v>
      </c>
      <c r="D147" s="153" t="n">
        <f aca="false">'🤖 Claude Haiku 3.5'!E147</f>
        <v>0.001901140684</v>
      </c>
      <c r="E147" s="129" t="n">
        <f aca="false">'🤖 Claude Haiku 3.5'!F147</f>
        <v>0</v>
      </c>
      <c r="F147" s="129" t="n">
        <f aca="false">'🤖 Claude Haiku 3.5'!G147</f>
        <v>0</v>
      </c>
      <c r="G147" s="129" t="n">
        <f aca="false">'🤖 Claude Haiku 3.5'!H147</f>
        <v>0</v>
      </c>
      <c r="H147" s="129" t="n">
        <f aca="false">'🤖 Claude Haiku 3.5'!I147</f>
        <v>0</v>
      </c>
      <c r="I147" s="129" t="n">
        <f aca="false">'🤖 Claude Haiku 3.5'!J147</f>
        <v>0</v>
      </c>
    </row>
    <row r="148" customFormat="false" ht="15.75" hidden="false" customHeight="false" outlineLevel="0" collapsed="false">
      <c r="A148" s="128" t="n">
        <f aca="false">'🤖 Claude Haiku 3.5'!$A$147</f>
        <v>0</v>
      </c>
      <c r="B148" s="4" t="str">
        <f aca="false">"Claude Sonnet 3.5"</f>
        <v>Claude Sonnet 3.5</v>
      </c>
      <c r="C148" s="129" t="str">
        <f aca="false">'🤖 Claude Haiku 3.5'!C148</f>
        <v>CoT</v>
      </c>
      <c r="D148" s="153" t="n">
        <f aca="false">'🤖 Claude Haiku 3.5'!E148</f>
        <v>0.001901140684</v>
      </c>
      <c r="E148" s="129" t="n">
        <f aca="false">'🤖 Claude Haiku 3.5'!F148</f>
        <v>0</v>
      </c>
      <c r="F148" s="129" t="n">
        <f aca="false">'🤖 Claude Haiku 3.5'!G148</f>
        <v>0</v>
      </c>
      <c r="G148" s="129" t="n">
        <f aca="false">'🤖 Claude Haiku 3.5'!H148</f>
        <v>0</v>
      </c>
      <c r="H148" s="129" t="n">
        <f aca="false">'🤖 Claude Haiku 3.5'!I148</f>
        <v>0</v>
      </c>
      <c r="I148" s="129" t="n">
        <f aca="false">'🤖 Claude Haiku 3.5'!J148</f>
        <v>0</v>
      </c>
    </row>
    <row r="149" customFormat="false" ht="15.75" hidden="false" customHeight="false" outlineLevel="0" collapsed="false">
      <c r="A149" s="128" t="n">
        <f aca="false">'🤖 Claude Haiku 3.5'!$A$147</f>
        <v>0</v>
      </c>
      <c r="B149" s="4" t="str">
        <f aca="false">"Claude Sonnet 3.5"</f>
        <v>Claude Sonnet 3.5</v>
      </c>
      <c r="C149" s="129" t="str">
        <f aca="false">'🤖 Claude Haiku 3.5'!C149</f>
        <v>5W1H</v>
      </c>
      <c r="D149" s="153" t="n">
        <f aca="false">'🤖 Claude Haiku 3.5'!E149</f>
        <v>0.001901140684</v>
      </c>
      <c r="E149" s="129" t="n">
        <f aca="false">'🤖 Claude Haiku 3.5'!F149</f>
        <v>0</v>
      </c>
      <c r="F149" s="129" t="n">
        <f aca="false">'🤖 Claude Haiku 3.5'!G149</f>
        <v>0</v>
      </c>
      <c r="G149" s="129" t="n">
        <f aca="false">'🤖 Claude Haiku 3.5'!H149</f>
        <v>0</v>
      </c>
      <c r="H149" s="129" t="n">
        <f aca="false">'🤖 Claude Haiku 3.5'!I149</f>
        <v>0</v>
      </c>
      <c r="I149" s="129" t="n">
        <f aca="false">'🤖 Claude Haiku 3.5'!J149</f>
        <v>0</v>
      </c>
    </row>
    <row r="150" customFormat="false" ht="15.75" hidden="false" customHeight="false" outlineLevel="0" collapsed="false">
      <c r="A150" s="128" t="n">
        <f aca="false">'🤖 Claude Haiku 3.5'!$A$147</f>
        <v>0</v>
      </c>
      <c r="B150" s="4" t="str">
        <f aca="false">"Claude Sonnet 3.5"</f>
        <v>Claude Sonnet 3.5</v>
      </c>
      <c r="C150" s="129" t="str">
        <f aca="false">'🤖 Claude Haiku 3.5'!C150</f>
        <v>tldr</v>
      </c>
      <c r="D150" s="153" t="n">
        <f aca="false">'🤖 Claude Haiku 3.5'!E150</f>
        <v>0.001901140684</v>
      </c>
      <c r="E150" s="129" t="n">
        <f aca="false">'🤖 Claude Haiku 3.5'!F150</f>
        <v>0</v>
      </c>
      <c r="F150" s="129" t="n">
        <f aca="false">'🤖 Claude Haiku 3.5'!G150</f>
        <v>0</v>
      </c>
      <c r="G150" s="129" t="n">
        <f aca="false">'🤖 Claude Haiku 3.5'!H150</f>
        <v>0</v>
      </c>
      <c r="H150" s="129" t="n">
        <f aca="false">'🤖 Claude Haiku 3.5'!I150</f>
        <v>0</v>
      </c>
      <c r="I150" s="129" t="n">
        <f aca="false">'🤖 Claude Haiku 3.5'!J150</f>
        <v>0</v>
      </c>
    </row>
    <row r="151" customFormat="false" ht="15.75" hidden="false" customHeight="false" outlineLevel="0" collapsed="false">
      <c r="A151" s="128"/>
      <c r="B151" s="4"/>
      <c r="C151" s="6"/>
      <c r="D151" s="153"/>
      <c r="E151" s="6"/>
      <c r="F151" s="6"/>
      <c r="G151" s="6"/>
      <c r="H151" s="6"/>
      <c r="I151" s="6"/>
    </row>
    <row r="152" customFormat="false" ht="15.75" hidden="false" customHeight="false" outlineLevel="0" collapsed="false">
      <c r="A152" s="128" t="n">
        <f aca="false">'🤖 Claude Haiku 3.5'!$A$152</f>
        <v>0</v>
      </c>
      <c r="B152" s="4" t="str">
        <f aca="false">"Claude Sonnet 3.5"</f>
        <v>Claude Sonnet 3.5</v>
      </c>
      <c r="C152" s="129" t="str">
        <f aca="false">'🤖 Claude Haiku 3.5'!C152</f>
        <v>Base</v>
      </c>
      <c r="D152" s="153" t="n">
        <f aca="false">'🤖 Claude Haiku 3.5'!E152</f>
        <v>0.001901140684</v>
      </c>
      <c r="E152" s="129" t="n">
        <f aca="false">'🤖 Claude Haiku 3.5'!F152</f>
        <v>0</v>
      </c>
      <c r="F152" s="129" t="n">
        <f aca="false">'🤖 Claude Haiku 3.5'!G152</f>
        <v>0</v>
      </c>
      <c r="G152" s="129" t="n">
        <f aca="false">'🤖 Claude Haiku 3.5'!H152</f>
        <v>0</v>
      </c>
      <c r="H152" s="129" t="n">
        <f aca="false">'🤖 Claude Haiku 3.5'!I152</f>
        <v>0</v>
      </c>
      <c r="I152" s="129" t="n">
        <f aca="false">'🤖 Claude Haiku 3.5'!J152</f>
        <v>0</v>
      </c>
    </row>
    <row r="153" customFormat="false" ht="15.75" hidden="false" customHeight="false" outlineLevel="0" collapsed="false">
      <c r="A153" s="128" t="n">
        <f aca="false">'🤖 Claude Haiku 3.5'!$A$152</f>
        <v>0</v>
      </c>
      <c r="B153" s="4" t="str">
        <f aca="false">"Claude Sonnet 3.5"</f>
        <v>Claude Sonnet 3.5</v>
      </c>
      <c r="C153" s="129" t="str">
        <f aca="false">'🤖 Claude Haiku 3.5'!C153</f>
        <v>CoT</v>
      </c>
      <c r="D153" s="153" t="n">
        <f aca="false">'🤖 Claude Haiku 3.5'!E153</f>
        <v>0.001901140684</v>
      </c>
      <c r="E153" s="129" t="n">
        <f aca="false">'🤖 Claude Haiku 3.5'!F153</f>
        <v>0</v>
      </c>
      <c r="F153" s="129" t="n">
        <f aca="false">'🤖 Claude Haiku 3.5'!G153</f>
        <v>0</v>
      </c>
      <c r="G153" s="129" t="n">
        <f aca="false">'🤖 Claude Haiku 3.5'!H153</f>
        <v>0</v>
      </c>
      <c r="H153" s="129" t="n">
        <f aca="false">'🤖 Claude Haiku 3.5'!I153</f>
        <v>0</v>
      </c>
      <c r="I153" s="129" t="n">
        <f aca="false">'🤖 Claude Haiku 3.5'!J153</f>
        <v>0</v>
      </c>
    </row>
    <row r="154" customFormat="false" ht="15.75" hidden="false" customHeight="false" outlineLevel="0" collapsed="false">
      <c r="A154" s="128" t="n">
        <f aca="false">'🤖 Claude Haiku 3.5'!$A$152</f>
        <v>0</v>
      </c>
      <c r="B154" s="4" t="str">
        <f aca="false">"Claude Sonnet 3.5"</f>
        <v>Claude Sonnet 3.5</v>
      </c>
      <c r="C154" s="129" t="str">
        <f aca="false">'🤖 Claude Haiku 3.5'!C154</f>
        <v>5W1H</v>
      </c>
      <c r="D154" s="153" t="n">
        <f aca="false">'🤖 Claude Haiku 3.5'!E154</f>
        <v>0.001901140684</v>
      </c>
      <c r="E154" s="129" t="n">
        <f aca="false">'🤖 Claude Haiku 3.5'!F154</f>
        <v>0</v>
      </c>
      <c r="F154" s="129" t="n">
        <f aca="false">'🤖 Claude Haiku 3.5'!G154</f>
        <v>0</v>
      </c>
      <c r="G154" s="129" t="n">
        <f aca="false">'🤖 Claude Haiku 3.5'!H154</f>
        <v>0</v>
      </c>
      <c r="H154" s="129" t="n">
        <f aca="false">'🤖 Claude Haiku 3.5'!I154</f>
        <v>0</v>
      </c>
      <c r="I154" s="129" t="n">
        <f aca="false">'🤖 Claude Haiku 3.5'!J154</f>
        <v>0</v>
      </c>
    </row>
    <row r="155" customFormat="false" ht="15.75" hidden="false" customHeight="false" outlineLevel="0" collapsed="false">
      <c r="A155" s="128" t="n">
        <f aca="false">'🤖 Claude Haiku 3.5'!$A$152</f>
        <v>0</v>
      </c>
      <c r="B155" s="4" t="str">
        <f aca="false">"Claude Sonnet 3.5"</f>
        <v>Claude Sonnet 3.5</v>
      </c>
      <c r="C155" s="129" t="str">
        <f aca="false">'🤖 Claude Haiku 3.5'!C155</f>
        <v>tldr</v>
      </c>
      <c r="D155" s="153" t="n">
        <f aca="false">'🤖 Claude Haiku 3.5'!E155</f>
        <v>0.001901140684</v>
      </c>
      <c r="E155" s="129" t="n">
        <f aca="false">'🤖 Claude Haiku 3.5'!F155</f>
        <v>0</v>
      </c>
      <c r="F155" s="129" t="n">
        <f aca="false">'🤖 Claude Haiku 3.5'!G155</f>
        <v>0</v>
      </c>
      <c r="G155" s="129" t="n">
        <f aca="false">'🤖 Claude Haiku 3.5'!H155</f>
        <v>0</v>
      </c>
      <c r="H155" s="129" t="n">
        <f aca="false">'🤖 Claude Haiku 3.5'!I155</f>
        <v>0</v>
      </c>
      <c r="I155" s="129" t="n">
        <f aca="false">'🤖 Claude Haiku 3.5'!J155</f>
        <v>0</v>
      </c>
    </row>
    <row r="156" customFormat="false" ht="15.75" hidden="false" customHeight="false" outlineLevel="0" collapsed="false">
      <c r="A156" s="128"/>
      <c r="B156" s="4"/>
      <c r="C156" s="6"/>
      <c r="D156" s="153"/>
      <c r="E156" s="6"/>
      <c r="F156" s="6"/>
      <c r="G156" s="6"/>
      <c r="H156" s="6"/>
      <c r="I156" s="6"/>
    </row>
    <row r="157" customFormat="false" ht="15.75" hidden="false" customHeight="false" outlineLevel="0" collapsed="false">
      <c r="A157" s="128" t="n">
        <f aca="false">'🤖 Claude Haiku 3.5'!$A$157</f>
        <v>0</v>
      </c>
      <c r="B157" s="4" t="str">
        <f aca="false">"Claude Sonnet 3.5"</f>
        <v>Claude Sonnet 3.5</v>
      </c>
      <c r="C157" s="129" t="str">
        <f aca="false">'🤖 Claude Haiku 3.5'!C157</f>
        <v>Base</v>
      </c>
      <c r="D157" s="153" t="n">
        <f aca="false">'🤖 Claude Haiku 3.5'!E157</f>
        <v>0.001901140684</v>
      </c>
      <c r="E157" s="129" t="n">
        <f aca="false">'🤖 Claude Haiku 3.5'!F157</f>
        <v>0</v>
      </c>
      <c r="F157" s="129" t="n">
        <f aca="false">'🤖 Claude Haiku 3.5'!G157</f>
        <v>0</v>
      </c>
      <c r="G157" s="129" t="n">
        <f aca="false">'🤖 Claude Haiku 3.5'!H157</f>
        <v>0</v>
      </c>
      <c r="H157" s="129" t="n">
        <f aca="false">'🤖 Claude Haiku 3.5'!I157</f>
        <v>0</v>
      </c>
      <c r="I157" s="129" t="n">
        <f aca="false">'🤖 Claude Haiku 3.5'!J157</f>
        <v>0</v>
      </c>
    </row>
    <row r="158" customFormat="false" ht="15.75" hidden="false" customHeight="false" outlineLevel="0" collapsed="false">
      <c r="A158" s="128" t="n">
        <f aca="false">'🤖 Claude Haiku 3.5'!$A$157</f>
        <v>0</v>
      </c>
      <c r="B158" s="4" t="str">
        <f aca="false">"Claude Sonnet 3.5"</f>
        <v>Claude Sonnet 3.5</v>
      </c>
      <c r="C158" s="129" t="str">
        <f aca="false">'🤖 Claude Haiku 3.5'!C158</f>
        <v>CoT</v>
      </c>
      <c r="D158" s="153" t="n">
        <f aca="false">'🤖 Claude Haiku 3.5'!E158</f>
        <v>0.001901140684</v>
      </c>
      <c r="E158" s="129" t="n">
        <f aca="false">'🤖 Claude Haiku 3.5'!F158</f>
        <v>0</v>
      </c>
      <c r="F158" s="129" t="n">
        <f aca="false">'🤖 Claude Haiku 3.5'!G158</f>
        <v>0</v>
      </c>
      <c r="G158" s="129" t="n">
        <f aca="false">'🤖 Claude Haiku 3.5'!H158</f>
        <v>0</v>
      </c>
      <c r="H158" s="129" t="n">
        <f aca="false">'🤖 Claude Haiku 3.5'!I158</f>
        <v>0</v>
      </c>
      <c r="I158" s="129" t="n">
        <f aca="false">'🤖 Claude Haiku 3.5'!J158</f>
        <v>0</v>
      </c>
    </row>
    <row r="159" customFormat="false" ht="15.75" hidden="false" customHeight="false" outlineLevel="0" collapsed="false">
      <c r="A159" s="128" t="n">
        <f aca="false">'🤖 Claude Haiku 3.5'!$A$157</f>
        <v>0</v>
      </c>
      <c r="B159" s="4" t="str">
        <f aca="false">"Claude Sonnet 3.5"</f>
        <v>Claude Sonnet 3.5</v>
      </c>
      <c r="C159" s="129" t="str">
        <f aca="false">'🤖 Claude Haiku 3.5'!C159</f>
        <v>5W1H</v>
      </c>
      <c r="D159" s="153" t="n">
        <f aca="false">'🤖 Claude Haiku 3.5'!E159</f>
        <v>0.001901140684</v>
      </c>
      <c r="E159" s="129" t="n">
        <f aca="false">'🤖 Claude Haiku 3.5'!F159</f>
        <v>0</v>
      </c>
      <c r="F159" s="129" t="n">
        <f aca="false">'🤖 Claude Haiku 3.5'!G159</f>
        <v>0</v>
      </c>
      <c r="G159" s="129" t="n">
        <f aca="false">'🤖 Claude Haiku 3.5'!H159</f>
        <v>0</v>
      </c>
      <c r="H159" s="129" t="n">
        <f aca="false">'🤖 Claude Haiku 3.5'!I159</f>
        <v>0</v>
      </c>
      <c r="I159" s="129" t="n">
        <f aca="false">'🤖 Claude Haiku 3.5'!J159</f>
        <v>0</v>
      </c>
    </row>
    <row r="160" customFormat="false" ht="15.75" hidden="false" customHeight="false" outlineLevel="0" collapsed="false">
      <c r="A160" s="128" t="n">
        <f aca="false">'🤖 Claude Haiku 3.5'!$A$157</f>
        <v>0</v>
      </c>
      <c r="B160" s="4" t="str">
        <f aca="false">"Claude Sonnet 3.5"</f>
        <v>Claude Sonnet 3.5</v>
      </c>
      <c r="C160" s="129" t="str">
        <f aca="false">'🤖 Claude Haiku 3.5'!C160</f>
        <v>tldr</v>
      </c>
      <c r="D160" s="153" t="n">
        <f aca="false">'🤖 Claude Haiku 3.5'!E160</f>
        <v>0.001901140684</v>
      </c>
      <c r="E160" s="129" t="n">
        <f aca="false">'🤖 Claude Haiku 3.5'!F160</f>
        <v>0</v>
      </c>
      <c r="F160" s="129" t="n">
        <f aca="false">'🤖 Claude Haiku 3.5'!G160</f>
        <v>0</v>
      </c>
      <c r="G160" s="129" t="n">
        <f aca="false">'🤖 Claude Haiku 3.5'!H160</f>
        <v>0</v>
      </c>
      <c r="H160" s="129" t="n">
        <f aca="false">'🤖 Claude Haiku 3.5'!I160</f>
        <v>0</v>
      </c>
      <c r="I160" s="129" t="n">
        <f aca="false">'🤖 Claude Haiku 3.5'!J160</f>
        <v>0</v>
      </c>
    </row>
    <row r="161" customFormat="false" ht="15.75" hidden="false" customHeight="false" outlineLevel="0" collapsed="false">
      <c r="A161" s="128"/>
      <c r="B161" s="4"/>
      <c r="C161" s="6"/>
      <c r="D161" s="153"/>
      <c r="E161" s="6"/>
      <c r="F161" s="6"/>
      <c r="G161" s="6"/>
      <c r="H161" s="6"/>
      <c r="I161" s="6"/>
    </row>
    <row r="162" customFormat="false" ht="15.75" hidden="false" customHeight="false" outlineLevel="0" collapsed="false">
      <c r="A162" s="128" t="n">
        <f aca="false">'🤖 Claude Haiku 3.5'!$A$162</f>
        <v>0</v>
      </c>
      <c r="B162" s="4" t="str">
        <f aca="false">"Claude Sonnet 3.5"</f>
        <v>Claude Sonnet 3.5</v>
      </c>
      <c r="C162" s="129" t="str">
        <f aca="false">'🤖 Claude Haiku 3.5'!C162</f>
        <v>Base</v>
      </c>
      <c r="D162" s="153" t="n">
        <f aca="false">'🤖 Claude Haiku 3.5'!E162</f>
        <v>0.001901140684</v>
      </c>
      <c r="E162" s="129" t="n">
        <f aca="false">'🤖 Claude Haiku 3.5'!F162</f>
        <v>0</v>
      </c>
      <c r="F162" s="129" t="n">
        <f aca="false">'🤖 Claude Haiku 3.5'!G162</f>
        <v>0</v>
      </c>
      <c r="G162" s="129" t="n">
        <f aca="false">'🤖 Claude Haiku 3.5'!H162</f>
        <v>0</v>
      </c>
      <c r="H162" s="129" t="n">
        <f aca="false">'🤖 Claude Haiku 3.5'!I162</f>
        <v>0</v>
      </c>
      <c r="I162" s="129" t="n">
        <f aca="false">'🤖 Claude Haiku 3.5'!J162</f>
        <v>0</v>
      </c>
    </row>
    <row r="163" customFormat="false" ht="15.75" hidden="false" customHeight="false" outlineLevel="0" collapsed="false">
      <c r="A163" s="128" t="n">
        <f aca="false">'🤖 Claude Haiku 3.5'!$A$162</f>
        <v>0</v>
      </c>
      <c r="B163" s="4" t="str">
        <f aca="false">"Claude Sonnet 3.5"</f>
        <v>Claude Sonnet 3.5</v>
      </c>
      <c r="C163" s="129" t="str">
        <f aca="false">'🤖 Claude Haiku 3.5'!C163</f>
        <v>CoT</v>
      </c>
      <c r="D163" s="153" t="n">
        <f aca="false">'🤖 Claude Haiku 3.5'!E163</f>
        <v>0.001901140684</v>
      </c>
      <c r="E163" s="129" t="n">
        <f aca="false">'🤖 Claude Haiku 3.5'!F163</f>
        <v>0</v>
      </c>
      <c r="F163" s="129" t="n">
        <f aca="false">'🤖 Claude Haiku 3.5'!G163</f>
        <v>0</v>
      </c>
      <c r="G163" s="129" t="n">
        <f aca="false">'🤖 Claude Haiku 3.5'!H163</f>
        <v>0</v>
      </c>
      <c r="H163" s="129" t="n">
        <f aca="false">'🤖 Claude Haiku 3.5'!I163</f>
        <v>0</v>
      </c>
      <c r="I163" s="129" t="n">
        <f aca="false">'🤖 Claude Haiku 3.5'!J163</f>
        <v>0</v>
      </c>
    </row>
    <row r="164" customFormat="false" ht="15.75" hidden="false" customHeight="false" outlineLevel="0" collapsed="false">
      <c r="A164" s="128" t="n">
        <f aca="false">'🤖 Claude Haiku 3.5'!$A$162</f>
        <v>0</v>
      </c>
      <c r="B164" s="4" t="str">
        <f aca="false">"Claude Sonnet 3.5"</f>
        <v>Claude Sonnet 3.5</v>
      </c>
      <c r="C164" s="129" t="str">
        <f aca="false">'🤖 Claude Haiku 3.5'!C164</f>
        <v>5W1H</v>
      </c>
      <c r="D164" s="153" t="n">
        <f aca="false">'🤖 Claude Haiku 3.5'!E164</f>
        <v>0.001901140684</v>
      </c>
      <c r="E164" s="129" t="n">
        <f aca="false">'🤖 Claude Haiku 3.5'!F164</f>
        <v>0</v>
      </c>
      <c r="F164" s="129" t="n">
        <f aca="false">'🤖 Claude Haiku 3.5'!G164</f>
        <v>0</v>
      </c>
      <c r="G164" s="129" t="n">
        <f aca="false">'🤖 Claude Haiku 3.5'!H164</f>
        <v>0</v>
      </c>
      <c r="H164" s="129" t="n">
        <f aca="false">'🤖 Claude Haiku 3.5'!I164</f>
        <v>0</v>
      </c>
      <c r="I164" s="129" t="n">
        <f aca="false">'🤖 Claude Haiku 3.5'!J164</f>
        <v>0</v>
      </c>
    </row>
    <row r="165" customFormat="false" ht="15.75" hidden="false" customHeight="false" outlineLevel="0" collapsed="false">
      <c r="A165" s="128" t="n">
        <f aca="false">'🤖 Claude Haiku 3.5'!$A$162</f>
        <v>0</v>
      </c>
      <c r="B165" s="4" t="str">
        <f aca="false">"Claude Sonnet 3.5"</f>
        <v>Claude Sonnet 3.5</v>
      </c>
      <c r="C165" s="129" t="str">
        <f aca="false">'🤖 Claude Haiku 3.5'!C165</f>
        <v>tldr</v>
      </c>
      <c r="D165" s="153" t="n">
        <f aca="false">'🤖 Claude Haiku 3.5'!E165</f>
        <v>0.001901140684</v>
      </c>
      <c r="E165" s="129" t="n">
        <f aca="false">'🤖 Claude Haiku 3.5'!F165</f>
        <v>0</v>
      </c>
      <c r="F165" s="129" t="n">
        <f aca="false">'🤖 Claude Haiku 3.5'!G165</f>
        <v>0</v>
      </c>
      <c r="G165" s="129" t="n">
        <f aca="false">'🤖 Claude Haiku 3.5'!H165</f>
        <v>0</v>
      </c>
      <c r="H165" s="129" t="n">
        <f aca="false">'🤖 Claude Haiku 3.5'!I165</f>
        <v>0</v>
      </c>
      <c r="I165" s="129" t="n">
        <f aca="false">'🤖 Claude Haiku 3.5'!J165</f>
        <v>0</v>
      </c>
    </row>
    <row r="166" customFormat="false" ht="15.75" hidden="false" customHeight="false" outlineLevel="0" collapsed="false">
      <c r="A166" s="9"/>
      <c r="B166" s="9"/>
      <c r="C166" s="51"/>
      <c r="D166" s="9"/>
      <c r="E166" s="51"/>
      <c r="F166" s="51"/>
      <c r="G166" s="51"/>
      <c r="H166" s="51"/>
      <c r="I166" s="51"/>
    </row>
    <row r="167" customFormat="false" ht="15.75" hidden="false" customHeight="false" outlineLevel="0" collapsed="false">
      <c r="A167" s="128" t="str">
        <f aca="false">'🤖 Command R+'!$A$2</f>
        <v>https://www.berria.eus/kirola/hau-badakit-egunen-batean-aterako-da-barruan-dudan-jokoa_2123931_102.html</v>
      </c>
      <c r="B167" s="4" t="s">
        <v>21</v>
      </c>
      <c r="C167" s="129" t="str">
        <f aca="false">'🤖 Command R+'!C2</f>
        <v>Base</v>
      </c>
      <c r="D167" s="137" t="n">
        <f aca="false">'🤖 Command R+'!E2</f>
        <v>0.5598548972</v>
      </c>
      <c r="E167" s="129" t="n">
        <f aca="false">'🤖 Command R+'!F2</f>
        <v>5</v>
      </c>
      <c r="F167" s="129" t="n">
        <f aca="false">'🤖 Command R+'!G2</f>
        <v>2</v>
      </c>
      <c r="G167" s="129" t="n">
        <f aca="false">'🤖 Command R+'!H2</f>
        <v>1</v>
      </c>
      <c r="H167" s="129" t="n">
        <f aca="false">'🤖 Command R+'!I2</f>
        <v>3</v>
      </c>
      <c r="I167" s="129" t="n">
        <f aca="false">'🤖 Command R+'!J2</f>
        <v>2</v>
      </c>
    </row>
    <row r="168" customFormat="false" ht="15.75" hidden="false" customHeight="false" outlineLevel="0" collapsed="false">
      <c r="A168" s="128" t="str">
        <f aca="false">'🤖 Command R+'!$A$2</f>
        <v>https://www.berria.eus/kirola/hau-badakit-egunen-batean-aterako-da-barruan-dudan-jokoa_2123931_102.html</v>
      </c>
      <c r="B168" s="4" t="s">
        <v>21</v>
      </c>
      <c r="C168" s="129" t="str">
        <f aca="false">'🤖 Command R+'!C3</f>
        <v>CoT</v>
      </c>
      <c r="D168" s="137" t="n">
        <f aca="false">'🤖 Command R+'!E3</f>
        <v>0.1487303507</v>
      </c>
      <c r="E168" s="129" t="n">
        <f aca="false">'🤖 Command R+'!F3</f>
        <v>1</v>
      </c>
      <c r="F168" s="129" t="n">
        <f aca="false">'🤖 Command R+'!G3</f>
        <v>4</v>
      </c>
      <c r="G168" s="129" t="n">
        <f aca="false">'🤖 Command R+'!H3</f>
        <v>2</v>
      </c>
      <c r="H168" s="129" t="n">
        <f aca="false">'🤖 Command R+'!I3</f>
        <v>2</v>
      </c>
      <c r="I168" s="129" t="n">
        <f aca="false">'🤖 Command R+'!J3</f>
        <v>2</v>
      </c>
    </row>
    <row r="169" customFormat="false" ht="15.75" hidden="false" customHeight="false" outlineLevel="0" collapsed="false">
      <c r="A169" s="128" t="str">
        <f aca="false">'🤖 Command R+'!$A$2</f>
        <v>https://www.berria.eus/kirola/hau-badakit-egunen-batean-aterako-da-barruan-dudan-jokoa_2123931_102.html</v>
      </c>
      <c r="B169" s="4" t="s">
        <v>21</v>
      </c>
      <c r="C169" s="129" t="str">
        <f aca="false">'🤖 Command R+'!C4</f>
        <v>5W1H</v>
      </c>
      <c r="D169" s="130" t="n">
        <f aca="false">'🤖 Command R+'!E4</f>
        <v>0.06892382104</v>
      </c>
      <c r="E169" s="129" t="n">
        <f aca="false">'🤖 Command R+'!F4</f>
        <v>2</v>
      </c>
      <c r="F169" s="129" t="n">
        <f aca="false">'🤖 Command R+'!G4</f>
        <v>5</v>
      </c>
      <c r="G169" s="129" t="n">
        <f aca="false">'🤖 Command R+'!H4</f>
        <v>3</v>
      </c>
      <c r="H169" s="129" t="n">
        <f aca="false">'🤖 Command R+'!I4</f>
        <v>4</v>
      </c>
      <c r="I169" s="129" t="n">
        <f aca="false">'🤖 Command R+'!J4</f>
        <v>3</v>
      </c>
    </row>
    <row r="170" customFormat="false" ht="15.75" hidden="false" customHeight="false" outlineLevel="0" collapsed="false">
      <c r="A170" s="128" t="str">
        <f aca="false">'🤖 Command R+'!$A$2</f>
        <v>https://www.berria.eus/kirola/hau-badakit-egunen-batean-aterako-da-barruan-dudan-jokoa_2123931_102.html</v>
      </c>
      <c r="B170" s="4" t="s">
        <v>21</v>
      </c>
      <c r="C170" s="129" t="str">
        <f aca="false">'🤖 Command R+'!C5</f>
        <v>tldr</v>
      </c>
      <c r="D170" s="143" t="n">
        <f aca="false">'🤖 Command R+'!E5</f>
        <v>0.07376058041</v>
      </c>
      <c r="E170" s="129" t="n">
        <f aca="false">'🤖 Command R+'!F5</f>
        <v>4</v>
      </c>
      <c r="F170" s="129" t="n">
        <f aca="false">'🤖 Command R+'!G5</f>
        <v>4</v>
      </c>
      <c r="G170" s="129" t="n">
        <f aca="false">'🤖 Command R+'!H5</f>
        <v>1</v>
      </c>
      <c r="H170" s="129" t="n">
        <f aca="false">'🤖 Command R+'!I5</f>
        <v>3</v>
      </c>
      <c r="I170" s="129" t="n">
        <f aca="false">'🤖 Command R+'!J5</f>
        <v>2</v>
      </c>
    </row>
    <row r="171" customFormat="false" ht="15.75" hidden="false" customHeight="false" outlineLevel="0" collapsed="false">
      <c r="A171" s="9"/>
      <c r="B171" s="9"/>
      <c r="C171" s="51"/>
      <c r="D171" s="9"/>
      <c r="E171" s="51"/>
      <c r="F171" s="51"/>
      <c r="G171" s="51"/>
      <c r="H171" s="51"/>
      <c r="I171" s="51"/>
    </row>
    <row r="172" customFormat="false" ht="15.75" hidden="false" customHeight="false" outlineLevel="0" collapsed="false">
      <c r="A172" s="128" t="str">
        <f aca="false">'🤖 Command R+'!$A$7</f>
        <v>https://www.berria.eus/ekonomia/kutxabankek-2116-euro-bideratu-zituen-karbono-gutxiko-proiektuak-finantzatzera_2120192_102.html</v>
      </c>
      <c r="B172" s="4" t="s">
        <v>21</v>
      </c>
      <c r="C172" s="129" t="str">
        <f aca="false">'🤖 Command R+'!C7</f>
        <v>Base</v>
      </c>
      <c r="D172" s="154" t="n">
        <f aca="false">'🤖 Command R+'!E7</f>
        <v>1.05511811</v>
      </c>
      <c r="E172" s="129" t="n">
        <f aca="false">'🤖 Command R+'!F7</f>
        <v>5</v>
      </c>
      <c r="F172" s="129" t="n">
        <f aca="false">'🤖 Command R+'!G7</f>
        <v>5</v>
      </c>
      <c r="G172" s="129" t="n">
        <f aca="false">'🤖 Command R+'!H7</f>
        <v>4</v>
      </c>
      <c r="H172" s="129" t="n">
        <f aca="false">'🤖 Command R+'!I7</f>
        <v>2</v>
      </c>
      <c r="I172" s="129" t="n">
        <f aca="false">'🤖 Command R+'!J7</f>
        <v>5</v>
      </c>
    </row>
    <row r="173" customFormat="false" ht="15.75" hidden="false" customHeight="false" outlineLevel="0" collapsed="false">
      <c r="A173" s="128" t="str">
        <f aca="false">'🤖 Command R+'!$A$7</f>
        <v>https://www.berria.eus/ekonomia/kutxabankek-2116-euro-bideratu-zituen-karbono-gutxiko-proiektuak-finantzatzera_2120192_102.html</v>
      </c>
      <c r="B173" s="4" t="s">
        <v>21</v>
      </c>
      <c r="C173" s="129" t="str">
        <f aca="false">'🤖 Command R+'!C8</f>
        <v>CoT</v>
      </c>
      <c r="D173" s="151" t="n">
        <f aca="false">'🤖 Command R+'!E8</f>
        <v>0.8897637795</v>
      </c>
      <c r="E173" s="129" t="n">
        <f aca="false">'🤖 Command R+'!F8</f>
        <v>5</v>
      </c>
      <c r="F173" s="129" t="n">
        <f aca="false">'🤖 Command R+'!G8</f>
        <v>5</v>
      </c>
      <c r="G173" s="129" t="n">
        <f aca="false">'🤖 Command R+'!H8</f>
        <v>3</v>
      </c>
      <c r="H173" s="129" t="n">
        <f aca="false">'🤖 Command R+'!I8</f>
        <v>2</v>
      </c>
      <c r="I173" s="129" t="n">
        <f aca="false">'🤖 Command R+'!J8</f>
        <v>5</v>
      </c>
    </row>
    <row r="174" customFormat="false" ht="15.75" hidden="false" customHeight="false" outlineLevel="0" collapsed="false">
      <c r="A174" s="128" t="str">
        <f aca="false">'🤖 Command R+'!$A$7</f>
        <v>https://www.berria.eus/ekonomia/kutxabankek-2116-euro-bideratu-zituen-karbono-gutxiko-proiektuak-finantzatzera_2120192_102.html</v>
      </c>
      <c r="B174" s="4" t="s">
        <v>21</v>
      </c>
      <c r="C174" s="129" t="str">
        <f aca="false">'🤖 Command R+'!C9</f>
        <v>5W1H</v>
      </c>
      <c r="D174" s="141" t="n">
        <f aca="false">'🤖 Command R+'!E9</f>
        <v>0.7795275591</v>
      </c>
      <c r="E174" s="129" t="n">
        <f aca="false">'🤖 Command R+'!F9</f>
        <v>3</v>
      </c>
      <c r="F174" s="129" t="n">
        <f aca="false">'🤖 Command R+'!G9</f>
        <v>5</v>
      </c>
      <c r="G174" s="129" t="n">
        <f aca="false">'🤖 Command R+'!H9</f>
        <v>3</v>
      </c>
      <c r="H174" s="129" t="n">
        <f aca="false">'🤖 Command R+'!I9</f>
        <v>3</v>
      </c>
      <c r="I174" s="129" t="n">
        <f aca="false">'🤖 Command R+'!J9</f>
        <v>5</v>
      </c>
    </row>
    <row r="175" customFormat="false" ht="15.75" hidden="false" customHeight="false" outlineLevel="0" collapsed="false">
      <c r="A175" s="128" t="str">
        <f aca="false">'🤖 Command R+'!$A$7</f>
        <v>https://www.berria.eus/ekonomia/kutxabankek-2116-euro-bideratu-zituen-karbono-gutxiko-proiektuak-finantzatzera_2120192_102.html</v>
      </c>
      <c r="B175" s="4" t="s">
        <v>21</v>
      </c>
      <c r="C175" s="129" t="str">
        <f aca="false">'🤖 Command R+'!C10</f>
        <v>tldr</v>
      </c>
      <c r="D175" s="137" t="n">
        <f aca="false">'🤖 Command R+'!E10</f>
        <v>0.5354330709</v>
      </c>
      <c r="E175" s="129" t="n">
        <f aca="false">'🤖 Command R+'!F10</f>
        <v>3</v>
      </c>
      <c r="F175" s="129" t="n">
        <f aca="false">'🤖 Command R+'!G10</f>
        <v>5</v>
      </c>
      <c r="G175" s="129" t="n">
        <f aca="false">'🤖 Command R+'!H10</f>
        <v>3</v>
      </c>
      <c r="H175" s="129" t="n">
        <f aca="false">'🤖 Command R+'!I10</f>
        <v>4</v>
      </c>
      <c r="I175" s="129" t="n">
        <f aca="false">'🤖 Command R+'!J10</f>
        <v>5</v>
      </c>
    </row>
    <row r="176" customFormat="false" ht="15.75" hidden="false" customHeight="false" outlineLevel="0" collapsed="false">
      <c r="A176" s="9"/>
      <c r="B176" s="9"/>
      <c r="C176" s="51"/>
      <c r="D176" s="9"/>
      <c r="E176" s="51"/>
      <c r="F176" s="51"/>
      <c r="G176" s="51"/>
      <c r="H176" s="51"/>
      <c r="I176" s="51"/>
    </row>
    <row r="177" customFormat="false" ht="15.75" hidden="false" customHeight="false" outlineLevel="0" collapsed="false">
      <c r="A177" s="128" t="str">
        <f aca="false">'🤖 Command R+'!$A$12</f>
        <v>https://www.berria.eus/bizigiro/tradizioa-eta-abangoardia_2126379_102.html</v>
      </c>
      <c r="B177" s="4" t="s">
        <v>21</v>
      </c>
      <c r="C177" s="129" t="str">
        <f aca="false">'🤖 Command R+'!C12</f>
        <v>Base</v>
      </c>
      <c r="D177" s="142" t="n">
        <f aca="false">'🤖 Command R+'!E12</f>
        <v>0.3684210526</v>
      </c>
      <c r="E177" s="129" t="n">
        <f aca="false">'🤖 Command R+'!F12</f>
        <v>4</v>
      </c>
      <c r="F177" s="129" t="n">
        <f aca="false">'🤖 Command R+'!G12</f>
        <v>4</v>
      </c>
      <c r="G177" s="129" t="n">
        <f aca="false">'🤖 Command R+'!H12</f>
        <v>2</v>
      </c>
      <c r="H177" s="129" t="n">
        <f aca="false">'🤖 Command R+'!I12</f>
        <v>3</v>
      </c>
      <c r="I177" s="129" t="n">
        <f aca="false">'🤖 Command R+'!J12</f>
        <v>4</v>
      </c>
    </row>
    <row r="178" customFormat="false" ht="15.75" hidden="false" customHeight="false" outlineLevel="0" collapsed="false">
      <c r="A178" s="128" t="str">
        <f aca="false">'🤖 Command R+'!$A$12</f>
        <v>https://www.berria.eus/bizigiro/tradizioa-eta-abangoardia_2126379_102.html</v>
      </c>
      <c r="B178" s="4" t="s">
        <v>21</v>
      </c>
      <c r="C178" s="129" t="str">
        <f aca="false">'🤖 Command R+'!C13</f>
        <v>CoT</v>
      </c>
      <c r="D178" s="142" t="n">
        <f aca="false">'🤖 Command R+'!E13</f>
        <v>0.4973684211</v>
      </c>
      <c r="E178" s="129" t="n">
        <f aca="false">'🤖 Command R+'!F13</f>
        <v>1</v>
      </c>
      <c r="F178" s="129" t="n">
        <f aca="false">'🤖 Command R+'!G13</f>
        <v>5</v>
      </c>
      <c r="G178" s="129" t="n">
        <f aca="false">'🤖 Command R+'!H13</f>
        <v>2</v>
      </c>
      <c r="H178" s="129" t="n">
        <f aca="false">'🤖 Command R+'!I13</f>
        <v>1</v>
      </c>
      <c r="I178" s="129" t="n">
        <f aca="false">'🤖 Command R+'!J13</f>
        <v>1</v>
      </c>
    </row>
    <row r="179" customFormat="false" ht="15.75" hidden="false" customHeight="false" outlineLevel="0" collapsed="false">
      <c r="A179" s="128" t="str">
        <f aca="false">'🤖 Command R+'!$A$12</f>
        <v>https://www.berria.eus/bizigiro/tradizioa-eta-abangoardia_2126379_102.html</v>
      </c>
      <c r="B179" s="4" t="s">
        <v>21</v>
      </c>
      <c r="C179" s="129" t="str">
        <f aca="false">'🤖 Command R+'!C14</f>
        <v>5W1H</v>
      </c>
      <c r="D179" s="138" t="n">
        <f aca="false">'🤖 Command R+'!E14</f>
        <v>0.5026315789</v>
      </c>
      <c r="E179" s="129" t="n">
        <f aca="false">'🤖 Command R+'!F14</f>
        <v>2</v>
      </c>
      <c r="F179" s="129" t="n">
        <f aca="false">'🤖 Command R+'!G14</f>
        <v>3</v>
      </c>
      <c r="G179" s="129" t="n">
        <f aca="false">'🤖 Command R+'!H14</f>
        <v>2</v>
      </c>
      <c r="H179" s="129" t="n">
        <f aca="false">'🤖 Command R+'!I14</f>
        <v>2</v>
      </c>
      <c r="I179" s="129" t="n">
        <f aca="false">'🤖 Command R+'!J14</f>
        <v>3</v>
      </c>
    </row>
    <row r="180" customFormat="false" ht="15.75" hidden="false" customHeight="false" outlineLevel="0" collapsed="false">
      <c r="A180" s="128" t="str">
        <f aca="false">'🤖 Command R+'!$A$12</f>
        <v>https://www.berria.eus/bizigiro/tradizioa-eta-abangoardia_2126379_102.html</v>
      </c>
      <c r="B180" s="4" t="s">
        <v>21</v>
      </c>
      <c r="C180" s="129" t="str">
        <f aca="false">'🤖 Command R+'!C15</f>
        <v>tldr</v>
      </c>
      <c r="D180" s="155" t="n">
        <f aca="false">'🤖 Command R+'!E15</f>
        <v>0.7842105263</v>
      </c>
      <c r="E180" s="129" t="n">
        <f aca="false">'🤖 Command R+'!F15</f>
        <v>5</v>
      </c>
      <c r="F180" s="129" t="n">
        <f aca="false">'🤖 Command R+'!G15</f>
        <v>3</v>
      </c>
      <c r="G180" s="129" t="n">
        <f aca="false">'🤖 Command R+'!H15</f>
        <v>1</v>
      </c>
      <c r="H180" s="129" t="n">
        <f aca="false">'🤖 Command R+'!I15</f>
        <v>2</v>
      </c>
      <c r="I180" s="129" t="n">
        <f aca="false">'🤖 Command R+'!J15</f>
        <v>5</v>
      </c>
    </row>
    <row r="181" customFormat="false" ht="15.75" hidden="false" customHeight="false" outlineLevel="0" collapsed="false">
      <c r="A181" s="9"/>
      <c r="B181" s="9"/>
      <c r="C181" s="51"/>
      <c r="D181" s="9"/>
      <c r="E181" s="51"/>
      <c r="F181" s="51"/>
      <c r="G181" s="51"/>
      <c r="H181" s="51"/>
      <c r="I181" s="51"/>
    </row>
    <row r="182" customFormat="false" ht="15.75" hidden="false" customHeight="false" outlineLevel="0" collapsed="false">
      <c r="A182" s="128" t="str">
        <f aca="false">'🤖 Command R+'!$A$17</f>
        <v>https://www.berria.eus/mundua/nbek-43-mila-milioi-euro-eskatu-ditu-datorren-urtean-laguntza-humanitarioa-bermatzeko_2117704_102.html</v>
      </c>
      <c r="B182" s="4" t="s">
        <v>21</v>
      </c>
      <c r="C182" s="129" t="str">
        <f aca="false">'🤖 Command R+'!C17</f>
        <v>Base</v>
      </c>
      <c r="D182" s="156" t="n">
        <f aca="false">'🤖 Command R+'!E17</f>
        <v>0.458041958</v>
      </c>
      <c r="E182" s="129" t="n">
        <f aca="false">'🤖 Command R+'!F17</f>
        <v>4</v>
      </c>
      <c r="F182" s="129" t="n">
        <f aca="false">'🤖 Command R+'!G17</f>
        <v>4</v>
      </c>
      <c r="G182" s="129" t="n">
        <f aca="false">'🤖 Command R+'!H17</f>
        <v>2</v>
      </c>
      <c r="H182" s="129" t="n">
        <f aca="false">'🤖 Command R+'!I17</f>
        <v>3</v>
      </c>
      <c r="I182" s="129" t="n">
        <f aca="false">'🤖 Command R+'!J17</f>
        <v>5</v>
      </c>
    </row>
    <row r="183" customFormat="false" ht="15.75" hidden="false" customHeight="false" outlineLevel="0" collapsed="false">
      <c r="A183" s="128" t="str">
        <f aca="false">'🤖 Command R+'!$A$17</f>
        <v>https://www.berria.eus/mundua/nbek-43-mila-milioi-euro-eskatu-ditu-datorren-urtean-laguntza-humanitarioa-bermatzeko_2117704_102.html</v>
      </c>
      <c r="B183" s="4" t="s">
        <v>21</v>
      </c>
      <c r="C183" s="129" t="str">
        <f aca="false">'🤖 Command R+'!C18</f>
        <v>CoT</v>
      </c>
      <c r="D183" s="145" t="n">
        <f aca="false">'🤖 Command R+'!E18</f>
        <v>0.2465034965</v>
      </c>
      <c r="E183" s="129" t="n">
        <f aca="false">'🤖 Command R+'!F18</f>
        <v>2</v>
      </c>
      <c r="F183" s="129" t="n">
        <f aca="false">'🤖 Command R+'!G18</f>
        <v>4</v>
      </c>
      <c r="G183" s="129" t="n">
        <f aca="false">'🤖 Command R+'!H18</f>
        <v>2</v>
      </c>
      <c r="H183" s="129" t="n">
        <f aca="false">'🤖 Command R+'!I18</f>
        <v>3</v>
      </c>
      <c r="I183" s="129" t="n">
        <f aca="false">'🤖 Command R+'!J18</f>
        <v>3</v>
      </c>
    </row>
    <row r="184" customFormat="false" ht="15.75" hidden="false" customHeight="false" outlineLevel="0" collapsed="false">
      <c r="A184" s="128" t="str">
        <f aca="false">'🤖 Command R+'!$A$17</f>
        <v>https://www.berria.eus/mundua/nbek-43-mila-milioi-euro-eskatu-ditu-datorren-urtean-laguntza-humanitarioa-bermatzeko_2117704_102.html</v>
      </c>
      <c r="B184" s="4" t="s">
        <v>21</v>
      </c>
      <c r="C184" s="129" t="str">
        <f aca="false">'🤖 Command R+'!C19</f>
        <v>5W1H</v>
      </c>
      <c r="D184" s="145" t="n">
        <f aca="false">'🤖 Command R+'!E19</f>
        <v>0.208041958</v>
      </c>
      <c r="E184" s="129" t="n">
        <f aca="false">'🤖 Command R+'!F19</f>
        <v>3</v>
      </c>
      <c r="F184" s="129" t="n">
        <f aca="false">'🤖 Command R+'!G19</f>
        <v>5</v>
      </c>
      <c r="G184" s="129" t="n">
        <f aca="false">'🤖 Command R+'!H19</f>
        <v>3</v>
      </c>
      <c r="H184" s="129" t="n">
        <f aca="false">'🤖 Command R+'!I19</f>
        <v>3</v>
      </c>
      <c r="I184" s="129" t="n">
        <f aca="false">'🤖 Command R+'!J19</f>
        <v>5</v>
      </c>
    </row>
    <row r="185" customFormat="false" ht="15.75" hidden="false" customHeight="false" outlineLevel="0" collapsed="false">
      <c r="A185" s="128" t="str">
        <f aca="false">'🤖 Command R+'!$A$17</f>
        <v>https://www.berria.eus/mundua/nbek-43-mila-milioi-euro-eskatu-ditu-datorren-urtean-laguntza-humanitarioa-bermatzeko_2117704_102.html</v>
      </c>
      <c r="B185" s="4" t="s">
        <v>21</v>
      </c>
      <c r="C185" s="129" t="str">
        <f aca="false">'🤖 Command R+'!C20</f>
        <v>tldr</v>
      </c>
      <c r="D185" s="157" t="n">
        <f aca="false">'🤖 Command R+'!E20</f>
        <v>0.1188811189</v>
      </c>
      <c r="E185" s="129" t="n">
        <f aca="false">'🤖 Command R+'!F20</f>
        <v>4</v>
      </c>
      <c r="F185" s="129" t="n">
        <f aca="false">'🤖 Command R+'!G20</f>
        <v>4</v>
      </c>
      <c r="G185" s="129" t="n">
        <f aca="false">'🤖 Command R+'!H20</f>
        <v>2</v>
      </c>
      <c r="H185" s="129" t="n">
        <f aca="false">'🤖 Command R+'!I20</f>
        <v>5</v>
      </c>
      <c r="I185" s="129" t="n">
        <f aca="false">'🤖 Command R+'!J20</f>
        <v>4</v>
      </c>
    </row>
    <row r="186" customFormat="false" ht="15.75" hidden="false" customHeight="false" outlineLevel="0" collapsed="false">
      <c r="A186" s="9"/>
      <c r="B186" s="9"/>
      <c r="C186" s="51"/>
      <c r="D186" s="9"/>
      <c r="E186" s="51"/>
      <c r="F186" s="51"/>
      <c r="G186" s="51"/>
      <c r="H186" s="51"/>
      <c r="I186" s="51"/>
    </row>
    <row r="187" customFormat="false" ht="15.75" hidden="false" customHeight="false" outlineLevel="0" collapsed="false">
      <c r="A187" s="128" t="str">
        <f aca="false">'🤖 Command R+'!$A$22</f>
        <v>https://www.berria.eus/kultura/umeak-amari-eman-dio-bidea_2124508_102.html</v>
      </c>
      <c r="B187" s="4" t="s">
        <v>21</v>
      </c>
      <c r="C187" s="129" t="str">
        <f aca="false">'🤖 Command R+'!C22</f>
        <v>Base</v>
      </c>
      <c r="D187" s="143" t="n">
        <f aca="false">'🤖 Command R+'!E22</f>
        <v>0.4408602151</v>
      </c>
      <c r="E187" s="129" t="n">
        <f aca="false">'🤖 Command R+'!F22</f>
        <v>4</v>
      </c>
      <c r="F187" s="129" t="n">
        <f aca="false">'🤖 Command R+'!G22</f>
        <v>2</v>
      </c>
      <c r="G187" s="129" t="n">
        <f aca="false">'🤖 Command R+'!H22</f>
        <v>1</v>
      </c>
      <c r="H187" s="129" t="n">
        <f aca="false">'🤖 Command R+'!I22</f>
        <v>3</v>
      </c>
      <c r="I187" s="129" t="n">
        <f aca="false">'🤖 Command R+'!J22</f>
        <v>5</v>
      </c>
    </row>
    <row r="188" customFormat="false" ht="15.75" hidden="false" customHeight="false" outlineLevel="0" collapsed="false">
      <c r="A188" s="128" t="str">
        <f aca="false">'🤖 Command R+'!$A$22</f>
        <v>https://www.berria.eus/kultura/umeak-amari-eman-dio-bidea_2124508_102.html</v>
      </c>
      <c r="B188" s="4" t="s">
        <v>21</v>
      </c>
      <c r="C188" s="129" t="str">
        <f aca="false">'🤖 Command R+'!C23</f>
        <v>CoT</v>
      </c>
      <c r="D188" s="149" t="n">
        <f aca="false">'🤖 Command R+'!E23</f>
        <v>0.688172043</v>
      </c>
      <c r="E188" s="129" t="n">
        <f aca="false">'🤖 Command R+'!F23</f>
        <v>2</v>
      </c>
      <c r="F188" s="129" t="n">
        <f aca="false">'🤖 Command R+'!G23</f>
        <v>5</v>
      </c>
      <c r="G188" s="129" t="n">
        <f aca="false">'🤖 Command R+'!H23</f>
        <v>2</v>
      </c>
      <c r="H188" s="129" t="n">
        <f aca="false">'🤖 Command R+'!I23</f>
        <v>2</v>
      </c>
      <c r="I188" s="129" t="n">
        <f aca="false">'🤖 Command R+'!J23</f>
        <v>3</v>
      </c>
    </row>
    <row r="189" customFormat="false" ht="15.75" hidden="false" customHeight="false" outlineLevel="0" collapsed="false">
      <c r="A189" s="128" t="str">
        <f aca="false">'🤖 Command R+'!$A$22</f>
        <v>https://www.berria.eus/kultura/umeak-amari-eman-dio-bidea_2124508_102.html</v>
      </c>
      <c r="B189" s="4" t="s">
        <v>21</v>
      </c>
      <c r="C189" s="129" t="str">
        <f aca="false">'🤖 Command R+'!C24</f>
        <v>5W1H</v>
      </c>
      <c r="D189" s="158" t="n">
        <f aca="false">'🤖 Command R+'!E24</f>
        <v>0.3888888889</v>
      </c>
      <c r="E189" s="129" t="n">
        <f aca="false">'🤖 Command R+'!F24</f>
        <v>3</v>
      </c>
      <c r="F189" s="129" t="n">
        <f aca="false">'🤖 Command R+'!G24</f>
        <v>3</v>
      </c>
      <c r="G189" s="129" t="n">
        <f aca="false">'🤖 Command R+'!H24</f>
        <v>3</v>
      </c>
      <c r="H189" s="129" t="n">
        <f aca="false">'🤖 Command R+'!I24</f>
        <v>3</v>
      </c>
      <c r="I189" s="129" t="n">
        <f aca="false">'🤖 Command R+'!J24</f>
        <v>5</v>
      </c>
    </row>
    <row r="190" customFormat="false" ht="15.75" hidden="false" customHeight="false" outlineLevel="0" collapsed="false">
      <c r="A190" s="128" t="str">
        <f aca="false">'🤖 Command R+'!$A$22</f>
        <v>https://www.berria.eus/kultura/umeak-amari-eman-dio-bidea_2124508_102.html</v>
      </c>
      <c r="B190" s="4" t="s">
        <v>21</v>
      </c>
      <c r="C190" s="129" t="str">
        <f aca="false">'🤖 Command R+'!C25</f>
        <v>tldr</v>
      </c>
      <c r="D190" s="136" t="n">
        <f aca="false">'🤖 Command R+'!E25</f>
        <v>0.2956989247</v>
      </c>
      <c r="E190" s="129" t="n">
        <f aca="false">'🤖 Command R+'!F25</f>
        <v>3</v>
      </c>
      <c r="F190" s="129" t="n">
        <f aca="false">'🤖 Command R+'!G25</f>
        <v>4</v>
      </c>
      <c r="G190" s="129" t="n">
        <f aca="false">'🤖 Command R+'!H25</f>
        <v>2</v>
      </c>
      <c r="H190" s="129" t="n">
        <f aca="false">'🤖 Command R+'!I25</f>
        <v>3</v>
      </c>
      <c r="I190" s="129" t="n">
        <f aca="false">'🤖 Command R+'!J25</f>
        <v>4</v>
      </c>
    </row>
    <row r="191" customFormat="false" ht="15.75" hidden="false" customHeight="false" outlineLevel="0" collapsed="false">
      <c r="A191" s="9"/>
      <c r="B191" s="9"/>
      <c r="C191" s="51"/>
      <c r="D191" s="9"/>
      <c r="E191" s="51"/>
      <c r="F191" s="51"/>
      <c r="G191" s="51"/>
      <c r="H191" s="51"/>
      <c r="I191" s="51"/>
    </row>
    <row r="192" customFormat="false" ht="15.75" hidden="false" customHeight="false" outlineLevel="0" collapsed="false">
      <c r="A192" s="128" t="str">
        <f aca="false">'🤖 Command R+'!$A$27</f>
        <v>https://www.berria.eus/euskal-herria/pintaketa-faxistak-egin-dituzte-irunean_2124262_102.html</v>
      </c>
      <c r="B192" s="4" t="s">
        <v>21</v>
      </c>
      <c r="C192" s="129" t="str">
        <f aca="false">'🤖 Command R+'!C27</f>
        <v>Base</v>
      </c>
      <c r="D192" s="156" t="n">
        <f aca="false">'🤖 Command R+'!E27</f>
        <v>1.204379562</v>
      </c>
      <c r="E192" s="129" t="n">
        <f aca="false">'🤖 Command R+'!F27</f>
        <v>3</v>
      </c>
      <c r="F192" s="129" t="n">
        <f aca="false">'🤖 Command R+'!G27</f>
        <v>3</v>
      </c>
      <c r="G192" s="129" t="n">
        <f aca="false">'🤖 Command R+'!H27</f>
        <v>2</v>
      </c>
      <c r="H192" s="129" t="n">
        <f aca="false">'🤖 Command R+'!I27</f>
        <v>2</v>
      </c>
      <c r="I192" s="129" t="n">
        <f aca="false">'🤖 Command R+'!J27</f>
        <v>3</v>
      </c>
      <c r="J192" s="9" t="n">
        <f aca="false">VLOOKUP(B192,__lookup__!A:B,2,FALSE())</f>
        <v>2</v>
      </c>
      <c r="K192" s="9" t="n">
        <f aca="false">VLOOKUP(C192,__lookup__!A:B,2,FALSE())</f>
        <v>10</v>
      </c>
    </row>
    <row r="193" customFormat="false" ht="15.75" hidden="false" customHeight="false" outlineLevel="0" collapsed="false">
      <c r="A193" s="128" t="str">
        <f aca="false">'🤖 Command R+'!$A$27</f>
        <v>https://www.berria.eus/euskal-herria/pintaketa-faxistak-egin-dituzte-irunean_2124262_102.html</v>
      </c>
      <c r="B193" s="4" t="s">
        <v>21</v>
      </c>
      <c r="C193" s="129" t="str">
        <f aca="false">'🤖 Command R+'!C28</f>
        <v>CoT</v>
      </c>
      <c r="D193" s="159" t="n">
        <f aca="false">'🤖 Command R+'!E28</f>
        <v>0.5693430657</v>
      </c>
      <c r="E193" s="129" t="n">
        <f aca="false">'🤖 Command R+'!F28</f>
        <v>3</v>
      </c>
      <c r="F193" s="129" t="n">
        <f aca="false">'🤖 Command R+'!G28</f>
        <v>5</v>
      </c>
      <c r="G193" s="129" t="n">
        <f aca="false">'🤖 Command R+'!H28</f>
        <v>2</v>
      </c>
      <c r="H193" s="129" t="n">
        <f aca="false">'🤖 Command R+'!I28</f>
        <v>4</v>
      </c>
      <c r="I193" s="129" t="n">
        <f aca="false">'🤖 Command R+'!J28</f>
        <v>3</v>
      </c>
    </row>
    <row r="194" customFormat="false" ht="15.75" hidden="false" customHeight="false" outlineLevel="0" collapsed="false">
      <c r="A194" s="128" t="str">
        <f aca="false">'🤖 Command R+'!$A$27</f>
        <v>https://www.berria.eus/euskal-herria/pintaketa-faxistak-egin-dituzte-irunean_2124262_102.html</v>
      </c>
      <c r="B194" s="4" t="s">
        <v>21</v>
      </c>
      <c r="C194" s="129" t="str">
        <f aca="false">'🤖 Command R+'!C29</f>
        <v>5W1H</v>
      </c>
      <c r="D194" s="145" t="n">
        <f aca="false">'🤖 Command R+'!E29</f>
        <v>0.4306569343</v>
      </c>
      <c r="E194" s="129" t="n">
        <f aca="false">'🤖 Command R+'!F29</f>
        <v>3</v>
      </c>
      <c r="F194" s="129" t="n">
        <f aca="false">'🤖 Command R+'!G29</f>
        <v>4</v>
      </c>
      <c r="G194" s="129" t="n">
        <f aca="false">'🤖 Command R+'!H29</f>
        <v>3</v>
      </c>
      <c r="H194" s="129" t="n">
        <f aca="false">'🤖 Command R+'!I29</f>
        <v>5</v>
      </c>
      <c r="I194" s="129" t="n">
        <f aca="false">'🤖 Command R+'!J29</f>
        <v>4</v>
      </c>
    </row>
    <row r="195" customFormat="false" ht="15.75" hidden="false" customHeight="false" outlineLevel="0" collapsed="false">
      <c r="A195" s="128" t="str">
        <f aca="false">'🤖 Command R+'!$A$27</f>
        <v>https://www.berria.eus/euskal-herria/pintaketa-faxistak-egin-dituzte-irunean_2124262_102.html</v>
      </c>
      <c r="B195" s="4" t="s">
        <v>21</v>
      </c>
      <c r="C195" s="129" t="str">
        <f aca="false">'🤖 Command R+'!C30</f>
        <v>tldr</v>
      </c>
      <c r="D195" s="150" t="n">
        <f aca="false">'🤖 Command R+'!E30</f>
        <v>0.700729927</v>
      </c>
      <c r="E195" s="129" t="n">
        <f aca="false">'🤖 Command R+'!F30</f>
        <v>4</v>
      </c>
      <c r="F195" s="129" t="n">
        <f aca="false">'🤖 Command R+'!G30</f>
        <v>5</v>
      </c>
      <c r="G195" s="129" t="n">
        <f aca="false">'🤖 Command R+'!H30</f>
        <v>1</v>
      </c>
      <c r="H195" s="129" t="n">
        <f aca="false">'🤖 Command R+'!I30</f>
        <v>4</v>
      </c>
      <c r="I195" s="129" t="n">
        <f aca="false">'🤖 Command R+'!J30</f>
        <v>4</v>
      </c>
    </row>
    <row r="196" customFormat="false" ht="15.75" hidden="false" customHeight="false" outlineLevel="0" collapsed="false">
      <c r="A196" s="9"/>
      <c r="B196" s="9"/>
      <c r="C196" s="51"/>
      <c r="D196" s="9"/>
      <c r="E196" s="51"/>
      <c r="F196" s="51"/>
      <c r="G196" s="51"/>
      <c r="H196" s="51"/>
      <c r="I196" s="51"/>
    </row>
    <row r="197" customFormat="false" ht="15.75" hidden="false" customHeight="false" outlineLevel="0" collapsed="false">
      <c r="A197" s="128" t="str">
        <f aca="false">'🤖 Command R+'!$A$32</f>
        <v>https://www.berria.eus/ekonomia/eolikoen-arlorako-laguntzetan-orain-halako-bi-jarriko-du-ebk-1400-milioi_1343992_102.html</v>
      </c>
      <c r="B197" s="4" t="s">
        <v>21</v>
      </c>
      <c r="C197" s="129" t="str">
        <f aca="false">'🤖 Command R+'!C32</f>
        <v>Base</v>
      </c>
      <c r="D197" s="160" t="n">
        <f aca="false">'🤖 Command R+'!E32</f>
        <v>1.39869281</v>
      </c>
      <c r="E197" s="129" t="n">
        <f aca="false">'🤖 Command R+'!F32</f>
        <v>4</v>
      </c>
      <c r="F197" s="129" t="n">
        <f aca="false">'🤖 Command R+'!G32</f>
        <v>5</v>
      </c>
      <c r="G197" s="129" t="n">
        <f aca="false">'🤖 Command R+'!H32</f>
        <v>1</v>
      </c>
      <c r="H197" s="129" t="n">
        <f aca="false">'🤖 Command R+'!I32</f>
        <v>1</v>
      </c>
      <c r="I197" s="129" t="n">
        <f aca="false">'🤖 Command R+'!J32</f>
        <v>5</v>
      </c>
    </row>
    <row r="198" customFormat="false" ht="15.75" hidden="false" customHeight="false" outlineLevel="0" collapsed="false">
      <c r="A198" s="128" t="str">
        <f aca="false">'🤖 Command R+'!$A$32</f>
        <v>https://www.berria.eus/ekonomia/eolikoen-arlorako-laguntzetan-orain-halako-bi-jarriko-du-ebk-1400-milioi_1343992_102.html</v>
      </c>
      <c r="B198" s="4" t="s">
        <v>21</v>
      </c>
      <c r="C198" s="129" t="str">
        <f aca="false">'🤖 Command R+'!C33</f>
        <v>CoT</v>
      </c>
      <c r="D198" s="146" t="n">
        <f aca="false">'🤖 Command R+'!E33</f>
        <v>0.1982570806</v>
      </c>
      <c r="E198" s="129" t="n">
        <f aca="false">'🤖 Command R+'!F33</f>
        <v>2</v>
      </c>
      <c r="F198" s="129" t="n">
        <f aca="false">'🤖 Command R+'!G33</f>
        <v>5</v>
      </c>
      <c r="G198" s="129" t="n">
        <f aca="false">'🤖 Command R+'!H33</f>
        <v>3</v>
      </c>
      <c r="H198" s="129" t="n">
        <f aca="false">'🤖 Command R+'!I33</f>
        <v>3</v>
      </c>
      <c r="I198" s="129" t="n">
        <f aca="false">'🤖 Command R+'!J33</f>
        <v>2</v>
      </c>
    </row>
    <row r="199" customFormat="false" ht="15.75" hidden="false" customHeight="false" outlineLevel="0" collapsed="false">
      <c r="A199" s="128" t="str">
        <f aca="false">'🤖 Command R+'!$A$32</f>
        <v>https://www.berria.eus/ekonomia/eolikoen-arlorako-laguntzetan-orain-halako-bi-jarriko-du-ebk-1400-milioi_1343992_102.html</v>
      </c>
      <c r="B199" s="4" t="s">
        <v>21</v>
      </c>
      <c r="C199" s="129" t="str">
        <f aca="false">'🤖 Command R+'!C34</f>
        <v>5W1H</v>
      </c>
      <c r="D199" s="161" t="n">
        <f aca="false">'🤖 Command R+'!E34</f>
        <v>0.3899782135</v>
      </c>
      <c r="E199" s="129" t="n">
        <f aca="false">'🤖 Command R+'!F34</f>
        <v>3</v>
      </c>
      <c r="F199" s="129" t="n">
        <f aca="false">'🤖 Command R+'!G34</f>
        <v>4</v>
      </c>
      <c r="G199" s="129" t="n">
        <f aca="false">'🤖 Command R+'!H34</f>
        <v>3</v>
      </c>
      <c r="H199" s="129" t="n">
        <f aca="false">'🤖 Command R+'!I34</f>
        <v>2</v>
      </c>
      <c r="I199" s="129" t="n">
        <f aca="false">'🤖 Command R+'!J34</f>
        <v>3</v>
      </c>
    </row>
    <row r="200" customFormat="false" ht="15.75" hidden="false" customHeight="false" outlineLevel="0" collapsed="false">
      <c r="A200" s="128" t="str">
        <f aca="false">'🤖 Command R+'!$A$32</f>
        <v>https://www.berria.eus/ekonomia/eolikoen-arlorako-laguntzetan-orain-halako-bi-jarriko-du-ebk-1400-milioi_1343992_102.html</v>
      </c>
      <c r="B200" s="4" t="s">
        <v>21</v>
      </c>
      <c r="C200" s="129" t="str">
        <f aca="false">'🤖 Command R+'!C35</f>
        <v>tldr</v>
      </c>
      <c r="D200" s="162" t="n">
        <f aca="false">'🤖 Command R+'!E35</f>
        <v>0.174291939</v>
      </c>
      <c r="E200" s="129" t="n">
        <f aca="false">'🤖 Command R+'!F35</f>
        <v>4</v>
      </c>
      <c r="F200" s="129" t="n">
        <f aca="false">'🤖 Command R+'!G35</f>
        <v>4</v>
      </c>
      <c r="G200" s="129" t="n">
        <f aca="false">'🤖 Command R+'!H35</f>
        <v>1</v>
      </c>
      <c r="H200" s="129" t="n">
        <f aca="false">'🤖 Command R+'!I35</f>
        <v>4</v>
      </c>
      <c r="I200" s="129" t="n">
        <f aca="false">'🤖 Command R+'!J35</f>
        <v>3</v>
      </c>
    </row>
    <row r="201" customFormat="false" ht="15.75" hidden="false" customHeight="false" outlineLevel="0" collapsed="false">
      <c r="A201" s="9"/>
      <c r="B201" s="9"/>
      <c r="C201" s="51"/>
      <c r="D201" s="9"/>
      <c r="E201" s="51"/>
      <c r="F201" s="51"/>
      <c r="G201" s="51"/>
      <c r="H201" s="51"/>
      <c r="I201" s="51"/>
    </row>
    <row r="202" customFormat="false" ht="15.75" hidden="false" customHeight="false" outlineLevel="0" collapsed="false">
      <c r="A202" s="128" t="str">
        <f aca="false">'🤖 Command R+'!$A$37</f>
        <v>https://www.berria.eus/kultura/itsasun-egingo-dute-irailekoak-poesia-jaialdia-aurten_2125293_102.html</v>
      </c>
      <c r="B202" s="4" t="s">
        <v>21</v>
      </c>
      <c r="C202" s="129" t="str">
        <f aca="false">'🤖 Command R+'!C37</f>
        <v>Base</v>
      </c>
      <c r="D202" s="133" t="n">
        <f aca="false">'🤖 Command R+'!E37</f>
        <v>0.9130434783</v>
      </c>
      <c r="E202" s="129" t="n">
        <f aca="false">'🤖 Command R+'!F37</f>
        <v>4</v>
      </c>
      <c r="F202" s="129" t="n">
        <f aca="false">'🤖 Command R+'!G37</f>
        <v>3</v>
      </c>
      <c r="G202" s="129" t="n">
        <f aca="false">'🤖 Command R+'!H37</f>
        <v>2</v>
      </c>
      <c r="H202" s="129" t="n">
        <f aca="false">'🤖 Command R+'!I37</f>
        <v>3</v>
      </c>
      <c r="I202" s="129" t="n">
        <f aca="false">'🤖 Command R+'!J37</f>
        <v>4</v>
      </c>
    </row>
    <row r="203" customFormat="false" ht="15.75" hidden="false" customHeight="false" outlineLevel="0" collapsed="false">
      <c r="A203" s="128" t="str">
        <f aca="false">'🤖 Command R+'!$A$37</f>
        <v>https://www.berria.eus/kultura/itsasun-egingo-dute-irailekoak-poesia-jaialdia-aurten_2125293_102.html</v>
      </c>
      <c r="B203" s="4" t="s">
        <v>21</v>
      </c>
      <c r="C203" s="129" t="str">
        <f aca="false">'🤖 Command R+'!C38</f>
        <v>CoT</v>
      </c>
      <c r="D203" s="135" t="n">
        <f aca="false">'🤖 Command R+'!E38</f>
        <v>0.6708074534</v>
      </c>
      <c r="E203" s="129" t="n">
        <f aca="false">'🤖 Command R+'!F38</f>
        <v>3</v>
      </c>
      <c r="F203" s="129" t="n">
        <f aca="false">'🤖 Command R+'!G38</f>
        <v>5</v>
      </c>
      <c r="G203" s="129" t="n">
        <f aca="false">'🤖 Command R+'!H38</f>
        <v>3</v>
      </c>
      <c r="H203" s="129" t="n">
        <f aca="false">'🤖 Command R+'!I38</f>
        <v>3</v>
      </c>
      <c r="I203" s="129" t="n">
        <f aca="false">'🤖 Command R+'!J38</f>
        <v>2</v>
      </c>
    </row>
    <row r="204" customFormat="false" ht="15.75" hidden="false" customHeight="false" outlineLevel="0" collapsed="false">
      <c r="A204" s="128" t="str">
        <f aca="false">'🤖 Command R+'!$A$37</f>
        <v>https://www.berria.eus/kultura/itsasun-egingo-dute-irailekoak-poesia-jaialdia-aurten_2125293_102.html</v>
      </c>
      <c r="B204" s="4" t="s">
        <v>21</v>
      </c>
      <c r="C204" s="129" t="str">
        <f aca="false">'🤖 Command R+'!C39</f>
        <v>5W1H</v>
      </c>
      <c r="D204" s="133" t="n">
        <f aca="false">'🤖 Command R+'!E39</f>
        <v>0.6645962733</v>
      </c>
      <c r="E204" s="129" t="n">
        <f aca="false">'🤖 Command R+'!F39</f>
        <v>3</v>
      </c>
      <c r="F204" s="129" t="n">
        <f aca="false">'🤖 Command R+'!G39</f>
        <v>3</v>
      </c>
      <c r="G204" s="129" t="n">
        <f aca="false">'🤖 Command R+'!H39</f>
        <v>3</v>
      </c>
      <c r="H204" s="129" t="n">
        <f aca="false">'🤖 Command R+'!I39</f>
        <v>4</v>
      </c>
      <c r="I204" s="129" t="n">
        <f aca="false">'🤖 Command R+'!J39</f>
        <v>4</v>
      </c>
    </row>
    <row r="205" customFormat="false" ht="15.75" hidden="false" customHeight="false" outlineLevel="0" collapsed="false">
      <c r="A205" s="128" t="str">
        <f aca="false">'🤖 Command R+'!$A$37</f>
        <v>https://www.berria.eus/kultura/itsasun-egingo-dute-irailekoak-poesia-jaialdia-aurten_2125293_102.html</v>
      </c>
      <c r="B205" s="4" t="s">
        <v>21</v>
      </c>
      <c r="C205" s="129" t="str">
        <f aca="false">'🤖 Command R+'!C40</f>
        <v>tldr</v>
      </c>
      <c r="D205" s="163" t="n">
        <f aca="false">'🤖 Command R+'!E40</f>
        <v>0.248447205</v>
      </c>
      <c r="E205" s="129" t="n">
        <f aca="false">'🤖 Command R+'!F40</f>
        <v>4</v>
      </c>
      <c r="F205" s="129" t="n">
        <f aca="false">'🤖 Command R+'!G40</f>
        <v>4</v>
      </c>
      <c r="G205" s="129" t="n">
        <f aca="false">'🤖 Command R+'!H40</f>
        <v>2</v>
      </c>
      <c r="H205" s="129" t="n">
        <f aca="false">'🤖 Command R+'!I40</f>
        <v>5</v>
      </c>
      <c r="I205" s="129" t="n">
        <f aca="false">'🤖 Command R+'!J40</f>
        <v>3</v>
      </c>
    </row>
    <row r="206" customFormat="false" ht="15.75" hidden="false" customHeight="false" outlineLevel="0" collapsed="false">
      <c r="A206" s="9"/>
      <c r="B206" s="9"/>
      <c r="C206" s="51"/>
      <c r="D206" s="9"/>
      <c r="E206" s="51"/>
      <c r="F206" s="51"/>
      <c r="G206" s="51"/>
      <c r="H206" s="51"/>
      <c r="I206" s="51"/>
    </row>
    <row r="207" customFormat="false" ht="15.75" hidden="false" customHeight="false" outlineLevel="0" collapsed="false">
      <c r="A207" s="128" t="str">
        <f aca="false">'🤖 Command R+'!$A$42</f>
        <v>https://www.berria.eus/kultura/nolabaiteko-kontrarreforma-bat-gertatzen-ari-da-eta-horren-aurrean-elkartu-beharra-daukagu_2124481_102.html</v>
      </c>
      <c r="B207" s="4" t="s">
        <v>21</v>
      </c>
      <c r="C207" s="129" t="str">
        <f aca="false">'🤖 Command R+'!C42</f>
        <v>Base</v>
      </c>
      <c r="D207" s="164" t="n">
        <f aca="false">'🤖 Command R+'!E42</f>
        <v>0.2941176471</v>
      </c>
      <c r="E207" s="129" t="n">
        <f aca="false">'🤖 Command R+'!F42</f>
        <v>3</v>
      </c>
      <c r="F207" s="129" t="n">
        <f aca="false">'🤖 Command R+'!G42</f>
        <v>5</v>
      </c>
      <c r="G207" s="129" t="n">
        <f aca="false">'🤖 Command R+'!H42</f>
        <v>3</v>
      </c>
      <c r="H207" s="129" t="n">
        <f aca="false">'🤖 Command R+'!I42</f>
        <v>2</v>
      </c>
      <c r="I207" s="129" t="n">
        <f aca="false">'🤖 Command R+'!J42</f>
        <v>3</v>
      </c>
    </row>
    <row r="208" customFormat="false" ht="15.75" hidden="false" customHeight="false" outlineLevel="0" collapsed="false">
      <c r="A208" s="128" t="str">
        <f aca="false">'🤖 Command R+'!$A$42</f>
        <v>https://www.berria.eus/kultura/nolabaiteko-kontrarreforma-bat-gertatzen-ari-da-eta-horren-aurrean-elkartu-beharra-daukagu_2124481_102.html</v>
      </c>
      <c r="B208" s="4" t="s">
        <v>21</v>
      </c>
      <c r="C208" s="129" t="str">
        <f aca="false">'🤖 Command R+'!C43</f>
        <v>CoT</v>
      </c>
      <c r="D208" s="165" t="n">
        <f aca="false">'🤖 Command R+'!E43</f>
        <v>0.3593004769</v>
      </c>
      <c r="E208" s="129" t="n">
        <f aca="false">'🤖 Command R+'!F43</f>
        <v>2</v>
      </c>
      <c r="F208" s="129" t="n">
        <f aca="false">'🤖 Command R+'!G43</f>
        <v>2</v>
      </c>
      <c r="G208" s="129" t="n">
        <f aca="false">'🤖 Command R+'!H43</f>
        <v>2</v>
      </c>
      <c r="H208" s="129" t="n">
        <f aca="false">'🤖 Command R+'!I43</f>
        <v>3</v>
      </c>
      <c r="I208" s="129" t="n">
        <f aca="false">'🤖 Command R+'!J43</f>
        <v>4</v>
      </c>
    </row>
    <row r="209" customFormat="false" ht="15.75" hidden="false" customHeight="false" outlineLevel="0" collapsed="false">
      <c r="A209" s="128" t="str">
        <f aca="false">'🤖 Command R+'!$A$42</f>
        <v>https://www.berria.eus/kultura/nolabaiteko-kontrarreforma-bat-gertatzen-ari-da-eta-horren-aurrean-elkartu-beharra-daukagu_2124481_102.html</v>
      </c>
      <c r="B209" s="4" t="s">
        <v>21</v>
      </c>
      <c r="C209" s="129" t="str">
        <f aca="false">'🤖 Command R+'!C44</f>
        <v>5W1H</v>
      </c>
      <c r="D209" s="166" t="n">
        <f aca="false">'🤖 Command R+'!E44</f>
        <v>0.2305246423</v>
      </c>
      <c r="E209" s="129" t="n">
        <f aca="false">'🤖 Command R+'!F44</f>
        <v>3</v>
      </c>
      <c r="F209" s="129" t="n">
        <f aca="false">'🤖 Command R+'!G44</f>
        <v>4</v>
      </c>
      <c r="G209" s="129" t="n">
        <f aca="false">'🤖 Command R+'!H44</f>
        <v>2</v>
      </c>
      <c r="H209" s="129" t="n">
        <f aca="false">'🤖 Command R+'!I44</f>
        <v>3</v>
      </c>
      <c r="I209" s="129" t="n">
        <f aca="false">'🤖 Command R+'!J44</f>
        <v>4</v>
      </c>
    </row>
    <row r="210" customFormat="false" ht="15.75" hidden="false" customHeight="false" outlineLevel="0" collapsed="false">
      <c r="A210" s="128" t="str">
        <f aca="false">'🤖 Command R+'!$A$42</f>
        <v>https://www.berria.eus/kultura/nolabaiteko-kontrarreforma-bat-gertatzen-ari-da-eta-horren-aurrean-elkartu-beharra-daukagu_2124481_102.html</v>
      </c>
      <c r="B210" s="4" t="s">
        <v>21</v>
      </c>
      <c r="C210" s="129" t="str">
        <f aca="false">'🤖 Command R+'!C45</f>
        <v>tldr</v>
      </c>
      <c r="D210" s="133" t="n">
        <f aca="false">'🤖 Command R+'!E45</f>
        <v>0.4181240064</v>
      </c>
      <c r="E210" s="129" t="n">
        <f aca="false">'🤖 Command R+'!F45</f>
        <v>2</v>
      </c>
      <c r="F210" s="129" t="n">
        <f aca="false">'🤖 Command R+'!G45</f>
        <v>5</v>
      </c>
      <c r="G210" s="129" t="n">
        <f aca="false">'🤖 Command R+'!H45</f>
        <v>3</v>
      </c>
      <c r="H210" s="129" t="n">
        <f aca="false">'🤖 Command R+'!I45</f>
        <v>2</v>
      </c>
      <c r="I210" s="129" t="n">
        <f aca="false">'🤖 Command R+'!J45</f>
        <v>2</v>
      </c>
    </row>
    <row r="211" customFormat="false" ht="15.75" hidden="false" customHeight="false" outlineLevel="0" collapsed="false">
      <c r="A211" s="9"/>
      <c r="B211" s="9"/>
      <c r="C211" s="51"/>
      <c r="D211" s="9"/>
      <c r="E211" s="51"/>
      <c r="F211" s="51"/>
      <c r="G211" s="51"/>
      <c r="H211" s="51"/>
      <c r="I211" s="51"/>
    </row>
    <row r="212" customFormat="false" ht="15.75" hidden="false" customHeight="false" outlineLevel="0" collapsed="false">
      <c r="A212" s="128" t="str">
        <f aca="false">'🤖 Command R+'!$A$47</f>
        <v>https://www.berria.eus/euskal-herria/ortuzarrek-dio-eajk-euskadiko-estatus-berriari-bultzada-eman-nahi-diola_2124257_102.html</v>
      </c>
      <c r="B212" s="4" t="s">
        <v>21</v>
      </c>
      <c r="C212" s="129" t="str">
        <f aca="false">'🤖 Command R+'!C47</f>
        <v>Base</v>
      </c>
      <c r="D212" s="143" t="n">
        <f aca="false">'🤖 Command R+'!E47</f>
        <v>0.355513308</v>
      </c>
      <c r="E212" s="129" t="n">
        <f aca="false">'🤖 Command R+'!F47</f>
        <v>2</v>
      </c>
      <c r="F212" s="129" t="n">
        <f aca="false">'🤖 Command R+'!G47</f>
        <v>2</v>
      </c>
      <c r="G212" s="129" t="n">
        <f aca="false">'🤖 Command R+'!H47</f>
        <v>2</v>
      </c>
      <c r="H212" s="129" t="n">
        <f aca="false">'🤖 Command R+'!I47</f>
        <v>3</v>
      </c>
      <c r="I212" s="129" t="n">
        <f aca="false">'🤖 Command R+'!J47</f>
        <v>3</v>
      </c>
    </row>
    <row r="213" customFormat="false" ht="15.75" hidden="false" customHeight="false" outlineLevel="0" collapsed="false">
      <c r="A213" s="128" t="str">
        <f aca="false">'🤖 Command R+'!$A$47</f>
        <v>https://www.berria.eus/euskal-herria/ortuzarrek-dio-eajk-euskadiko-estatus-berriari-bultzada-eman-nahi-diola_2124257_102.html</v>
      </c>
      <c r="B213" s="4" t="s">
        <v>21</v>
      </c>
      <c r="C213" s="129" t="str">
        <f aca="false">'🤖 Command R+'!C48</f>
        <v>CoT</v>
      </c>
      <c r="D213" s="149" t="n">
        <f aca="false">'🤖 Command R+'!E48</f>
        <v>0.1558935361</v>
      </c>
      <c r="E213" s="129" t="n">
        <f aca="false">'🤖 Command R+'!F48</f>
        <v>3</v>
      </c>
      <c r="F213" s="129" t="n">
        <f aca="false">'🤖 Command R+'!G48</f>
        <v>4</v>
      </c>
      <c r="G213" s="129" t="n">
        <f aca="false">'🤖 Command R+'!H48</f>
        <v>3</v>
      </c>
      <c r="H213" s="129" t="n">
        <f aca="false">'🤖 Command R+'!I48</f>
        <v>3</v>
      </c>
      <c r="I213" s="129" t="n">
        <f aca="false">'🤖 Command R+'!J48</f>
        <v>3</v>
      </c>
    </row>
    <row r="214" customFormat="false" ht="15.75" hidden="false" customHeight="false" outlineLevel="0" collapsed="false">
      <c r="A214" s="128" t="str">
        <f aca="false">'🤖 Command R+'!$A$47</f>
        <v>https://www.berria.eus/euskal-herria/ortuzarrek-dio-eajk-euskadiko-estatus-berriari-bultzada-eman-nahi-diola_2124257_102.html</v>
      </c>
      <c r="B214" s="4" t="s">
        <v>21</v>
      </c>
      <c r="C214" s="129" t="str">
        <f aca="false">'🤖 Command R+'!C49</f>
        <v>5W1H</v>
      </c>
      <c r="D214" s="158" t="n">
        <f aca="false">'🤖 Command R+'!E49</f>
        <v>0.3079847909</v>
      </c>
      <c r="E214" s="129" t="n">
        <f aca="false">'🤖 Command R+'!F49</f>
        <v>2</v>
      </c>
      <c r="F214" s="129" t="n">
        <f aca="false">'🤖 Command R+'!G49</f>
        <v>3</v>
      </c>
      <c r="G214" s="129" t="n">
        <f aca="false">'🤖 Command R+'!H49</f>
        <v>3</v>
      </c>
      <c r="H214" s="129" t="n">
        <f aca="false">'🤖 Command R+'!I49</f>
        <v>3</v>
      </c>
      <c r="I214" s="129" t="n">
        <f aca="false">'🤖 Command R+'!J49</f>
        <v>4</v>
      </c>
    </row>
    <row r="215" customFormat="false" ht="15.75" hidden="false" customHeight="false" outlineLevel="0" collapsed="false">
      <c r="A215" s="128" t="str">
        <f aca="false">'🤖 Command R+'!$A$47</f>
        <v>https://www.berria.eus/euskal-herria/ortuzarrek-dio-eajk-euskadiko-estatus-berriari-bultzada-eman-nahi-diola_2124257_102.html</v>
      </c>
      <c r="B215" s="4" t="s">
        <v>21</v>
      </c>
      <c r="C215" s="129" t="str">
        <f aca="false">'🤖 Command R+'!C50</f>
        <v>tldr</v>
      </c>
      <c r="D215" s="167" t="n">
        <f aca="false">'🤖 Command R+'!E50</f>
        <v>0.8346007605</v>
      </c>
      <c r="E215" s="129" t="n">
        <f aca="false">'🤖 Command R+'!F50</f>
        <v>5</v>
      </c>
      <c r="F215" s="129" t="n">
        <f aca="false">'🤖 Command R+'!G50</f>
        <v>5</v>
      </c>
      <c r="G215" s="129" t="n">
        <f aca="false">'🤖 Command R+'!H50</f>
        <v>1</v>
      </c>
      <c r="H215" s="129" t="n">
        <f aca="false">'🤖 Command R+'!I50</f>
        <v>2</v>
      </c>
      <c r="I215" s="129" t="n">
        <f aca="false">'🤖 Command R+'!J50</f>
        <v>5</v>
      </c>
    </row>
    <row r="216" customFormat="false" ht="15.75" hidden="false" customHeight="false" outlineLevel="0" collapsed="false">
      <c r="A216" s="128"/>
      <c r="B216" s="4"/>
      <c r="C216" s="6"/>
      <c r="D216" s="167"/>
      <c r="E216" s="6"/>
      <c r="F216" s="6"/>
      <c r="G216" s="6"/>
      <c r="H216" s="6"/>
      <c r="I216" s="6"/>
    </row>
    <row r="217" customFormat="false" ht="15.75" hidden="false" customHeight="false" outlineLevel="0" collapsed="false">
      <c r="A217" s="128" t="n">
        <f aca="false">'🤖 Command R+'!$A$52</f>
        <v>0</v>
      </c>
      <c r="B217" s="4" t="s">
        <v>21</v>
      </c>
      <c r="C217" s="129" t="str">
        <f aca="false">'🤖 Command R+'!C52</f>
        <v>Base</v>
      </c>
      <c r="D217" s="167" t="n">
        <f aca="false">'🤖 Command R+'!E52</f>
        <v>0.001901140684</v>
      </c>
      <c r="E217" s="129" t="n">
        <f aca="false">'🤖 Command R+'!F52</f>
        <v>0</v>
      </c>
      <c r="F217" s="129" t="n">
        <f aca="false">'🤖 Command R+'!G52</f>
        <v>0</v>
      </c>
      <c r="G217" s="129" t="n">
        <f aca="false">'🤖 Command R+'!H52</f>
        <v>0</v>
      </c>
      <c r="H217" s="129" t="n">
        <f aca="false">'🤖 Command R+'!I52</f>
        <v>0</v>
      </c>
      <c r="I217" s="129" t="n">
        <f aca="false">'🤖 Command R+'!J52</f>
        <v>0</v>
      </c>
    </row>
    <row r="218" customFormat="false" ht="15.75" hidden="false" customHeight="false" outlineLevel="0" collapsed="false">
      <c r="A218" s="128" t="n">
        <f aca="false">'🤖 Command R+'!$A$52</f>
        <v>0</v>
      </c>
      <c r="B218" s="4" t="s">
        <v>21</v>
      </c>
      <c r="C218" s="129" t="str">
        <f aca="false">'🤖 Command R+'!C53</f>
        <v>CoT</v>
      </c>
      <c r="D218" s="167" t="n">
        <f aca="false">'🤖 Command R+'!E53</f>
        <v>0.001901140684</v>
      </c>
      <c r="E218" s="129" t="n">
        <f aca="false">'🤖 Command R+'!F53</f>
        <v>0</v>
      </c>
      <c r="F218" s="129" t="n">
        <f aca="false">'🤖 Command R+'!G53</f>
        <v>0</v>
      </c>
      <c r="G218" s="129" t="n">
        <f aca="false">'🤖 Command R+'!H53</f>
        <v>0</v>
      </c>
      <c r="H218" s="129" t="n">
        <f aca="false">'🤖 Command R+'!I53</f>
        <v>0</v>
      </c>
      <c r="I218" s="129" t="n">
        <f aca="false">'🤖 Command R+'!J53</f>
        <v>0</v>
      </c>
    </row>
    <row r="219" customFormat="false" ht="15.75" hidden="false" customHeight="false" outlineLevel="0" collapsed="false">
      <c r="A219" s="128" t="n">
        <f aca="false">'🤖 Command R+'!$A$52</f>
        <v>0</v>
      </c>
      <c r="B219" s="4" t="s">
        <v>21</v>
      </c>
      <c r="C219" s="129" t="str">
        <f aca="false">'🤖 Command R+'!C54</f>
        <v>5W1H</v>
      </c>
      <c r="D219" s="167" t="n">
        <f aca="false">'🤖 Command R+'!E54</f>
        <v>0.001901140684</v>
      </c>
      <c r="E219" s="129" t="n">
        <f aca="false">'🤖 Command R+'!F54</f>
        <v>0</v>
      </c>
      <c r="F219" s="129" t="n">
        <f aca="false">'🤖 Command R+'!G54</f>
        <v>0</v>
      </c>
      <c r="G219" s="129" t="n">
        <f aca="false">'🤖 Command R+'!H54</f>
        <v>0</v>
      </c>
      <c r="H219" s="129" t="n">
        <f aca="false">'🤖 Command R+'!I54</f>
        <v>0</v>
      </c>
      <c r="I219" s="129" t="n">
        <f aca="false">'🤖 Command R+'!J54</f>
        <v>0</v>
      </c>
    </row>
    <row r="220" customFormat="false" ht="15.75" hidden="false" customHeight="false" outlineLevel="0" collapsed="false">
      <c r="A220" s="128" t="n">
        <f aca="false">'🤖 Command R+'!$A$52</f>
        <v>0</v>
      </c>
      <c r="B220" s="4" t="s">
        <v>21</v>
      </c>
      <c r="C220" s="129" t="str">
        <f aca="false">'🤖 Command R+'!C55</f>
        <v>tldr</v>
      </c>
      <c r="D220" s="167" t="n">
        <f aca="false">'🤖 Command R+'!E55</f>
        <v>0.001901140684</v>
      </c>
      <c r="E220" s="129" t="n">
        <f aca="false">'🤖 Command R+'!F55</f>
        <v>0</v>
      </c>
      <c r="F220" s="129" t="n">
        <f aca="false">'🤖 Command R+'!G55</f>
        <v>0</v>
      </c>
      <c r="G220" s="129" t="n">
        <f aca="false">'🤖 Command R+'!H55</f>
        <v>0</v>
      </c>
      <c r="H220" s="129" t="n">
        <f aca="false">'🤖 Command R+'!I55</f>
        <v>0</v>
      </c>
      <c r="I220" s="129" t="n">
        <f aca="false">'🤖 Command R+'!J55</f>
        <v>0</v>
      </c>
    </row>
    <row r="221" customFormat="false" ht="15.75" hidden="false" customHeight="false" outlineLevel="0" collapsed="false">
      <c r="A221" s="128"/>
      <c r="B221" s="4"/>
      <c r="C221" s="6"/>
      <c r="D221" s="167"/>
      <c r="E221" s="6"/>
      <c r="F221" s="6"/>
      <c r="G221" s="6"/>
      <c r="H221" s="6"/>
      <c r="I221" s="6"/>
    </row>
    <row r="222" customFormat="false" ht="15.75" hidden="false" customHeight="false" outlineLevel="0" collapsed="false">
      <c r="A222" s="128" t="n">
        <f aca="false">'🤖 Command R+'!$A$57</f>
        <v>0</v>
      </c>
      <c r="B222" s="4" t="s">
        <v>21</v>
      </c>
      <c r="C222" s="129" t="str">
        <f aca="false">'🤖 Command R+'!C57</f>
        <v>Base</v>
      </c>
      <c r="D222" s="167" t="n">
        <f aca="false">'🤖 Command R+'!E57</f>
        <v>0.001901140684</v>
      </c>
      <c r="E222" s="129" t="n">
        <f aca="false">'🤖 Command R+'!F57</f>
        <v>0</v>
      </c>
      <c r="F222" s="129" t="n">
        <f aca="false">'🤖 Command R+'!G57</f>
        <v>0</v>
      </c>
      <c r="G222" s="129" t="n">
        <f aca="false">'🤖 Command R+'!H57</f>
        <v>0</v>
      </c>
      <c r="H222" s="129" t="n">
        <f aca="false">'🤖 Command R+'!I57</f>
        <v>0</v>
      </c>
      <c r="I222" s="129" t="n">
        <f aca="false">'🤖 Command R+'!J57</f>
        <v>0</v>
      </c>
    </row>
    <row r="223" customFormat="false" ht="15.75" hidden="false" customHeight="false" outlineLevel="0" collapsed="false">
      <c r="A223" s="128" t="n">
        <f aca="false">'🤖 Command R+'!$A$57</f>
        <v>0</v>
      </c>
      <c r="B223" s="4" t="s">
        <v>21</v>
      </c>
      <c r="C223" s="129" t="str">
        <f aca="false">'🤖 Command R+'!C58</f>
        <v>CoT</v>
      </c>
      <c r="D223" s="167" t="n">
        <f aca="false">'🤖 Command R+'!E58</f>
        <v>0.001901140684</v>
      </c>
      <c r="E223" s="129" t="n">
        <f aca="false">'🤖 Command R+'!F58</f>
        <v>0</v>
      </c>
      <c r="F223" s="129" t="n">
        <f aca="false">'🤖 Command R+'!G58</f>
        <v>0</v>
      </c>
      <c r="G223" s="129" t="n">
        <f aca="false">'🤖 Command R+'!H58</f>
        <v>0</v>
      </c>
      <c r="H223" s="129" t="n">
        <f aca="false">'🤖 Command R+'!I58</f>
        <v>0</v>
      </c>
      <c r="I223" s="129" t="n">
        <f aca="false">'🤖 Command R+'!J58</f>
        <v>0</v>
      </c>
    </row>
    <row r="224" customFormat="false" ht="15.75" hidden="false" customHeight="false" outlineLevel="0" collapsed="false">
      <c r="A224" s="128" t="n">
        <f aca="false">'🤖 Command R+'!$A$57</f>
        <v>0</v>
      </c>
      <c r="B224" s="4" t="s">
        <v>21</v>
      </c>
      <c r="C224" s="129" t="str">
        <f aca="false">'🤖 Command R+'!C59</f>
        <v>5W1H</v>
      </c>
      <c r="D224" s="167" t="n">
        <f aca="false">'🤖 Command R+'!E59</f>
        <v>0.001901140684</v>
      </c>
      <c r="E224" s="129" t="n">
        <f aca="false">'🤖 Command R+'!F59</f>
        <v>0</v>
      </c>
      <c r="F224" s="129" t="n">
        <f aca="false">'🤖 Command R+'!G59</f>
        <v>0</v>
      </c>
      <c r="G224" s="129" t="n">
        <f aca="false">'🤖 Command R+'!H59</f>
        <v>0</v>
      </c>
      <c r="H224" s="129" t="n">
        <f aca="false">'🤖 Command R+'!I59</f>
        <v>0</v>
      </c>
      <c r="I224" s="129" t="n">
        <f aca="false">'🤖 Command R+'!J59</f>
        <v>0</v>
      </c>
    </row>
    <row r="225" customFormat="false" ht="15.75" hidden="false" customHeight="false" outlineLevel="0" collapsed="false">
      <c r="A225" s="128" t="n">
        <f aca="false">'🤖 Command R+'!$A$57</f>
        <v>0</v>
      </c>
      <c r="B225" s="4" t="s">
        <v>21</v>
      </c>
      <c r="C225" s="129" t="str">
        <f aca="false">'🤖 Command R+'!C60</f>
        <v>tldr</v>
      </c>
      <c r="D225" s="167" t="n">
        <f aca="false">'🤖 Command R+'!E60</f>
        <v>0.001901140684</v>
      </c>
      <c r="E225" s="129" t="n">
        <f aca="false">'🤖 Command R+'!F60</f>
        <v>0</v>
      </c>
      <c r="F225" s="129" t="n">
        <f aca="false">'🤖 Command R+'!G60</f>
        <v>0</v>
      </c>
      <c r="G225" s="129" t="n">
        <f aca="false">'🤖 Command R+'!H60</f>
        <v>0</v>
      </c>
      <c r="H225" s="129" t="n">
        <f aca="false">'🤖 Command R+'!I60</f>
        <v>0</v>
      </c>
      <c r="I225" s="129" t="n">
        <f aca="false">'🤖 Command R+'!J60</f>
        <v>0</v>
      </c>
    </row>
    <row r="226" customFormat="false" ht="15.75" hidden="false" customHeight="false" outlineLevel="0" collapsed="false">
      <c r="A226" s="128"/>
      <c r="B226" s="4"/>
      <c r="C226" s="6"/>
      <c r="D226" s="167"/>
      <c r="E226" s="6"/>
      <c r="F226" s="6"/>
      <c r="G226" s="6"/>
      <c r="H226" s="6"/>
      <c r="I226" s="6"/>
    </row>
    <row r="227" customFormat="false" ht="15.75" hidden="false" customHeight="false" outlineLevel="0" collapsed="false">
      <c r="A227" s="128" t="n">
        <f aca="false">'🤖 Command R+'!$A$62</f>
        <v>0</v>
      </c>
      <c r="B227" s="4" t="s">
        <v>21</v>
      </c>
      <c r="C227" s="129" t="str">
        <f aca="false">'🤖 Command R+'!C62</f>
        <v>Base</v>
      </c>
      <c r="D227" s="167" t="n">
        <f aca="false">'🤖 Command R+'!E62</f>
        <v>0.001901140684</v>
      </c>
      <c r="E227" s="129" t="n">
        <f aca="false">'🤖 Command R+'!F62</f>
        <v>0</v>
      </c>
      <c r="F227" s="129" t="n">
        <f aca="false">'🤖 Command R+'!G62</f>
        <v>0</v>
      </c>
      <c r="G227" s="129" t="n">
        <f aca="false">'🤖 Command R+'!H62</f>
        <v>0</v>
      </c>
      <c r="H227" s="129" t="n">
        <f aca="false">'🤖 Command R+'!I62</f>
        <v>0</v>
      </c>
      <c r="I227" s="129" t="n">
        <f aca="false">'🤖 Command R+'!J62</f>
        <v>0</v>
      </c>
    </row>
    <row r="228" customFormat="false" ht="15.75" hidden="false" customHeight="false" outlineLevel="0" collapsed="false">
      <c r="A228" s="128" t="n">
        <f aca="false">'🤖 Command R+'!$A$62</f>
        <v>0</v>
      </c>
      <c r="B228" s="4" t="s">
        <v>21</v>
      </c>
      <c r="C228" s="129" t="str">
        <f aca="false">'🤖 Command R+'!C63</f>
        <v>CoT</v>
      </c>
      <c r="D228" s="167" t="n">
        <f aca="false">'🤖 Command R+'!E63</f>
        <v>0.001901140684</v>
      </c>
      <c r="E228" s="129" t="n">
        <f aca="false">'🤖 Command R+'!F63</f>
        <v>0</v>
      </c>
      <c r="F228" s="129" t="n">
        <f aca="false">'🤖 Command R+'!G63</f>
        <v>0</v>
      </c>
      <c r="G228" s="129" t="n">
        <f aca="false">'🤖 Command R+'!H63</f>
        <v>0</v>
      </c>
      <c r="H228" s="129" t="n">
        <f aca="false">'🤖 Command R+'!I63</f>
        <v>0</v>
      </c>
      <c r="I228" s="129" t="n">
        <f aca="false">'🤖 Command R+'!J63</f>
        <v>0</v>
      </c>
    </row>
    <row r="229" customFormat="false" ht="15.75" hidden="false" customHeight="false" outlineLevel="0" collapsed="false">
      <c r="A229" s="128" t="n">
        <f aca="false">'🤖 Command R+'!$A$62</f>
        <v>0</v>
      </c>
      <c r="B229" s="4" t="s">
        <v>21</v>
      </c>
      <c r="C229" s="129" t="str">
        <f aca="false">'🤖 Command R+'!C64</f>
        <v>5W1H</v>
      </c>
      <c r="D229" s="167" t="n">
        <f aca="false">'🤖 Command R+'!E64</f>
        <v>0.001901140684</v>
      </c>
      <c r="E229" s="129" t="n">
        <f aca="false">'🤖 Command R+'!F64</f>
        <v>0</v>
      </c>
      <c r="F229" s="129" t="n">
        <f aca="false">'🤖 Command R+'!G64</f>
        <v>0</v>
      </c>
      <c r="G229" s="129" t="n">
        <f aca="false">'🤖 Command R+'!H64</f>
        <v>0</v>
      </c>
      <c r="H229" s="129" t="n">
        <f aca="false">'🤖 Command R+'!I64</f>
        <v>0</v>
      </c>
      <c r="I229" s="129" t="n">
        <f aca="false">'🤖 Command R+'!J64</f>
        <v>0</v>
      </c>
    </row>
    <row r="230" customFormat="false" ht="15.75" hidden="false" customHeight="false" outlineLevel="0" collapsed="false">
      <c r="A230" s="128" t="n">
        <f aca="false">'🤖 Command R+'!$A$62</f>
        <v>0</v>
      </c>
      <c r="B230" s="4" t="s">
        <v>21</v>
      </c>
      <c r="C230" s="129" t="str">
        <f aca="false">'🤖 Command R+'!C65</f>
        <v>tldr</v>
      </c>
      <c r="D230" s="167" t="n">
        <f aca="false">'🤖 Command R+'!E65</f>
        <v>0.001901140684</v>
      </c>
      <c r="E230" s="129" t="n">
        <f aca="false">'🤖 Command R+'!F65</f>
        <v>0</v>
      </c>
      <c r="F230" s="129" t="n">
        <f aca="false">'🤖 Command R+'!G65</f>
        <v>0</v>
      </c>
      <c r="G230" s="129" t="n">
        <f aca="false">'🤖 Command R+'!H65</f>
        <v>0</v>
      </c>
      <c r="H230" s="129" t="n">
        <f aca="false">'🤖 Command R+'!I65</f>
        <v>0</v>
      </c>
      <c r="I230" s="129" t="n">
        <f aca="false">'🤖 Command R+'!J65</f>
        <v>0</v>
      </c>
    </row>
    <row r="231" customFormat="false" ht="15.75" hidden="false" customHeight="false" outlineLevel="0" collapsed="false">
      <c r="A231" s="128"/>
      <c r="B231" s="4"/>
      <c r="C231" s="6"/>
      <c r="D231" s="167"/>
      <c r="E231" s="6"/>
      <c r="F231" s="6"/>
      <c r="G231" s="6"/>
      <c r="H231" s="6"/>
      <c r="I231" s="6"/>
    </row>
    <row r="232" customFormat="false" ht="15.75" hidden="false" customHeight="false" outlineLevel="0" collapsed="false">
      <c r="A232" s="128" t="n">
        <f aca="false">'🤖 Command R+'!$A$67</f>
        <v>0</v>
      </c>
      <c r="B232" s="4" t="s">
        <v>21</v>
      </c>
      <c r="C232" s="129" t="str">
        <f aca="false">'🤖 Command R+'!C67</f>
        <v>Base</v>
      </c>
      <c r="D232" s="167" t="n">
        <f aca="false">'🤖 Command R+'!E67</f>
        <v>0.001901140684</v>
      </c>
      <c r="E232" s="129" t="n">
        <f aca="false">'🤖 Command R+'!F67</f>
        <v>0</v>
      </c>
      <c r="F232" s="129" t="n">
        <f aca="false">'🤖 Command R+'!G67</f>
        <v>0</v>
      </c>
      <c r="G232" s="129" t="n">
        <f aca="false">'🤖 Command R+'!H67</f>
        <v>0</v>
      </c>
      <c r="H232" s="129" t="n">
        <f aca="false">'🤖 Command R+'!I67</f>
        <v>0</v>
      </c>
      <c r="I232" s="129" t="n">
        <f aca="false">'🤖 Command R+'!J67</f>
        <v>0</v>
      </c>
    </row>
    <row r="233" customFormat="false" ht="15.75" hidden="false" customHeight="false" outlineLevel="0" collapsed="false">
      <c r="A233" s="128" t="n">
        <f aca="false">'🤖 Command R+'!$A$67</f>
        <v>0</v>
      </c>
      <c r="B233" s="4" t="s">
        <v>21</v>
      </c>
      <c r="C233" s="129" t="str">
        <f aca="false">'🤖 Command R+'!C68</f>
        <v>CoT</v>
      </c>
      <c r="D233" s="167" t="n">
        <f aca="false">'🤖 Command R+'!E68</f>
        <v>0.001901140684</v>
      </c>
      <c r="E233" s="129" t="n">
        <f aca="false">'🤖 Command R+'!F68</f>
        <v>0</v>
      </c>
      <c r="F233" s="129" t="n">
        <f aca="false">'🤖 Command R+'!G68</f>
        <v>0</v>
      </c>
      <c r="G233" s="129" t="n">
        <f aca="false">'🤖 Command R+'!H68</f>
        <v>0</v>
      </c>
      <c r="H233" s="129" t="n">
        <f aca="false">'🤖 Command R+'!I68</f>
        <v>0</v>
      </c>
      <c r="I233" s="129" t="n">
        <f aca="false">'🤖 Command R+'!J68</f>
        <v>0</v>
      </c>
    </row>
    <row r="234" customFormat="false" ht="15.75" hidden="false" customHeight="false" outlineLevel="0" collapsed="false">
      <c r="A234" s="128" t="n">
        <f aca="false">'🤖 Command R+'!$A$67</f>
        <v>0</v>
      </c>
      <c r="B234" s="4" t="s">
        <v>21</v>
      </c>
      <c r="C234" s="129" t="str">
        <f aca="false">'🤖 Command R+'!C69</f>
        <v>5W1H</v>
      </c>
      <c r="D234" s="167" t="n">
        <f aca="false">'🤖 Command R+'!E69</f>
        <v>0.001901140684</v>
      </c>
      <c r="E234" s="129" t="n">
        <f aca="false">'🤖 Command R+'!F69</f>
        <v>0</v>
      </c>
      <c r="F234" s="129" t="n">
        <f aca="false">'🤖 Command R+'!G69</f>
        <v>0</v>
      </c>
      <c r="G234" s="129" t="n">
        <f aca="false">'🤖 Command R+'!H69</f>
        <v>0</v>
      </c>
      <c r="H234" s="129" t="n">
        <f aca="false">'🤖 Command R+'!I69</f>
        <v>0</v>
      </c>
      <c r="I234" s="129" t="n">
        <f aca="false">'🤖 Command R+'!J69</f>
        <v>0</v>
      </c>
    </row>
    <row r="235" customFormat="false" ht="15.75" hidden="false" customHeight="false" outlineLevel="0" collapsed="false">
      <c r="A235" s="128" t="n">
        <f aca="false">'🤖 Command R+'!$A$67</f>
        <v>0</v>
      </c>
      <c r="B235" s="4" t="s">
        <v>21</v>
      </c>
      <c r="C235" s="129" t="str">
        <f aca="false">'🤖 Command R+'!C70</f>
        <v>tldr</v>
      </c>
      <c r="D235" s="167" t="n">
        <f aca="false">'🤖 Command R+'!E70</f>
        <v>0.001901140684</v>
      </c>
      <c r="E235" s="129" t="n">
        <f aca="false">'🤖 Command R+'!F70</f>
        <v>0</v>
      </c>
      <c r="F235" s="129" t="n">
        <f aca="false">'🤖 Command R+'!G70</f>
        <v>0</v>
      </c>
      <c r="G235" s="129" t="n">
        <f aca="false">'🤖 Command R+'!H70</f>
        <v>0</v>
      </c>
      <c r="H235" s="129" t="n">
        <f aca="false">'🤖 Command R+'!I70</f>
        <v>0</v>
      </c>
      <c r="I235" s="129" t="n">
        <f aca="false">'🤖 Command R+'!J70</f>
        <v>0</v>
      </c>
    </row>
    <row r="236" customFormat="false" ht="15.75" hidden="false" customHeight="false" outlineLevel="0" collapsed="false">
      <c r="A236" s="128"/>
      <c r="B236" s="4"/>
      <c r="C236" s="6"/>
      <c r="D236" s="167"/>
      <c r="E236" s="6"/>
      <c r="F236" s="6"/>
      <c r="G236" s="6"/>
      <c r="H236" s="6"/>
      <c r="I236" s="6"/>
    </row>
    <row r="237" customFormat="false" ht="15.75" hidden="false" customHeight="false" outlineLevel="0" collapsed="false">
      <c r="A237" s="128" t="n">
        <f aca="false">'🤖 Command R+'!$A$72</f>
        <v>0</v>
      </c>
      <c r="B237" s="4" t="s">
        <v>21</v>
      </c>
      <c r="C237" s="129" t="str">
        <f aca="false">'🤖 Command R+'!C72</f>
        <v>Base</v>
      </c>
      <c r="D237" s="167" t="n">
        <f aca="false">'🤖 Command R+'!E72</f>
        <v>0.001901140684</v>
      </c>
      <c r="E237" s="129" t="n">
        <f aca="false">'🤖 Command R+'!F72</f>
        <v>0</v>
      </c>
      <c r="F237" s="129" t="n">
        <f aca="false">'🤖 Command R+'!G72</f>
        <v>0</v>
      </c>
      <c r="G237" s="129" t="n">
        <f aca="false">'🤖 Command R+'!H72</f>
        <v>0</v>
      </c>
      <c r="H237" s="129" t="n">
        <f aca="false">'🤖 Command R+'!I72</f>
        <v>0</v>
      </c>
      <c r="I237" s="129" t="n">
        <f aca="false">'🤖 Command R+'!J72</f>
        <v>0</v>
      </c>
    </row>
    <row r="238" customFormat="false" ht="15.75" hidden="false" customHeight="false" outlineLevel="0" collapsed="false">
      <c r="A238" s="128" t="n">
        <f aca="false">'🤖 Command R+'!$A$72</f>
        <v>0</v>
      </c>
      <c r="B238" s="4" t="s">
        <v>21</v>
      </c>
      <c r="C238" s="129" t="str">
        <f aca="false">'🤖 Command R+'!C73</f>
        <v>CoT</v>
      </c>
      <c r="D238" s="167" t="n">
        <f aca="false">'🤖 Command R+'!E73</f>
        <v>0.001901140684</v>
      </c>
      <c r="E238" s="129" t="n">
        <f aca="false">'🤖 Command R+'!F73</f>
        <v>0</v>
      </c>
      <c r="F238" s="129" t="n">
        <f aca="false">'🤖 Command R+'!G73</f>
        <v>0</v>
      </c>
      <c r="G238" s="129" t="n">
        <f aca="false">'🤖 Command R+'!H73</f>
        <v>0</v>
      </c>
      <c r="H238" s="129" t="n">
        <f aca="false">'🤖 Command R+'!I73</f>
        <v>0</v>
      </c>
      <c r="I238" s="129" t="n">
        <f aca="false">'🤖 Command R+'!J73</f>
        <v>0</v>
      </c>
    </row>
    <row r="239" customFormat="false" ht="15.75" hidden="false" customHeight="false" outlineLevel="0" collapsed="false">
      <c r="A239" s="128" t="n">
        <f aca="false">'🤖 Command R+'!$A$72</f>
        <v>0</v>
      </c>
      <c r="B239" s="4" t="s">
        <v>21</v>
      </c>
      <c r="C239" s="129" t="str">
        <f aca="false">'🤖 Command R+'!C74</f>
        <v>5W1H</v>
      </c>
      <c r="D239" s="167" t="n">
        <f aca="false">'🤖 Command R+'!E74</f>
        <v>0.001901140684</v>
      </c>
      <c r="E239" s="129" t="n">
        <f aca="false">'🤖 Command R+'!F74</f>
        <v>0</v>
      </c>
      <c r="F239" s="129" t="n">
        <f aca="false">'🤖 Command R+'!G74</f>
        <v>0</v>
      </c>
      <c r="G239" s="129" t="n">
        <f aca="false">'🤖 Command R+'!H74</f>
        <v>0</v>
      </c>
      <c r="H239" s="129" t="n">
        <f aca="false">'🤖 Command R+'!I74</f>
        <v>0</v>
      </c>
      <c r="I239" s="129" t="n">
        <f aca="false">'🤖 Command R+'!J74</f>
        <v>0</v>
      </c>
    </row>
    <row r="240" customFormat="false" ht="15.75" hidden="false" customHeight="false" outlineLevel="0" collapsed="false">
      <c r="A240" s="128" t="n">
        <f aca="false">'🤖 Command R+'!$A$72</f>
        <v>0</v>
      </c>
      <c r="B240" s="4" t="s">
        <v>21</v>
      </c>
      <c r="C240" s="129" t="str">
        <f aca="false">'🤖 Command R+'!C75</f>
        <v>tldr</v>
      </c>
      <c r="D240" s="167" t="n">
        <f aca="false">'🤖 Command R+'!E75</f>
        <v>0.001901140684</v>
      </c>
      <c r="E240" s="129" t="n">
        <f aca="false">'🤖 Command R+'!F75</f>
        <v>0</v>
      </c>
      <c r="F240" s="129" t="n">
        <f aca="false">'🤖 Command R+'!G75</f>
        <v>0</v>
      </c>
      <c r="G240" s="129" t="n">
        <f aca="false">'🤖 Command R+'!H75</f>
        <v>0</v>
      </c>
      <c r="H240" s="129" t="n">
        <f aca="false">'🤖 Command R+'!I75</f>
        <v>0</v>
      </c>
      <c r="I240" s="129" t="n">
        <f aca="false">'🤖 Command R+'!J75</f>
        <v>0</v>
      </c>
    </row>
    <row r="241" customFormat="false" ht="15.75" hidden="false" customHeight="false" outlineLevel="0" collapsed="false">
      <c r="A241" s="128"/>
      <c r="B241" s="4"/>
      <c r="C241" s="6"/>
      <c r="D241" s="167"/>
      <c r="E241" s="6"/>
      <c r="F241" s="6"/>
      <c r="G241" s="6"/>
      <c r="H241" s="6"/>
      <c r="I241" s="6"/>
    </row>
    <row r="242" customFormat="false" ht="15.75" hidden="false" customHeight="false" outlineLevel="0" collapsed="false">
      <c r="A242" s="128" t="n">
        <f aca="false">'🤖 Command R+'!$A$77</f>
        <v>0</v>
      </c>
      <c r="B242" s="4" t="s">
        <v>21</v>
      </c>
      <c r="C242" s="129" t="str">
        <f aca="false">'🤖 Command R+'!C77</f>
        <v>Base</v>
      </c>
      <c r="D242" s="167" t="n">
        <f aca="false">'🤖 Command R+'!E77</f>
        <v>0.001901140684</v>
      </c>
      <c r="E242" s="129" t="n">
        <f aca="false">'🤖 Command R+'!F77</f>
        <v>0</v>
      </c>
      <c r="F242" s="129" t="n">
        <f aca="false">'🤖 Command R+'!G77</f>
        <v>0</v>
      </c>
      <c r="G242" s="129" t="n">
        <f aca="false">'🤖 Command R+'!H77</f>
        <v>0</v>
      </c>
      <c r="H242" s="129" t="n">
        <f aca="false">'🤖 Command R+'!I77</f>
        <v>0</v>
      </c>
      <c r="I242" s="129" t="n">
        <f aca="false">'🤖 Command R+'!J77</f>
        <v>0</v>
      </c>
    </row>
    <row r="243" customFormat="false" ht="15.75" hidden="false" customHeight="false" outlineLevel="0" collapsed="false">
      <c r="A243" s="128" t="n">
        <f aca="false">'🤖 Command R+'!$A$77</f>
        <v>0</v>
      </c>
      <c r="B243" s="4" t="s">
        <v>21</v>
      </c>
      <c r="C243" s="129" t="str">
        <f aca="false">'🤖 Command R+'!C78</f>
        <v>CoT</v>
      </c>
      <c r="D243" s="167" t="n">
        <f aca="false">'🤖 Command R+'!E78</f>
        <v>0.001901140684</v>
      </c>
      <c r="E243" s="129" t="n">
        <f aca="false">'🤖 Command R+'!F78</f>
        <v>0</v>
      </c>
      <c r="F243" s="129" t="n">
        <f aca="false">'🤖 Command R+'!G78</f>
        <v>0</v>
      </c>
      <c r="G243" s="129" t="n">
        <f aca="false">'🤖 Command R+'!H78</f>
        <v>0</v>
      </c>
      <c r="H243" s="129" t="n">
        <f aca="false">'🤖 Command R+'!I78</f>
        <v>0</v>
      </c>
      <c r="I243" s="129" t="n">
        <f aca="false">'🤖 Command R+'!J78</f>
        <v>0</v>
      </c>
    </row>
    <row r="244" customFormat="false" ht="15.75" hidden="false" customHeight="false" outlineLevel="0" collapsed="false">
      <c r="A244" s="128" t="n">
        <f aca="false">'🤖 Command R+'!$A$77</f>
        <v>0</v>
      </c>
      <c r="B244" s="4" t="s">
        <v>21</v>
      </c>
      <c r="C244" s="129" t="str">
        <f aca="false">'🤖 Command R+'!C79</f>
        <v>5W1H</v>
      </c>
      <c r="D244" s="167" t="n">
        <f aca="false">'🤖 Command R+'!E79</f>
        <v>0.001901140684</v>
      </c>
      <c r="E244" s="129" t="n">
        <f aca="false">'🤖 Command R+'!F79</f>
        <v>0</v>
      </c>
      <c r="F244" s="129" t="n">
        <f aca="false">'🤖 Command R+'!G79</f>
        <v>0</v>
      </c>
      <c r="G244" s="129" t="n">
        <f aca="false">'🤖 Command R+'!H79</f>
        <v>0</v>
      </c>
      <c r="H244" s="129" t="n">
        <f aca="false">'🤖 Command R+'!I79</f>
        <v>0</v>
      </c>
      <c r="I244" s="129" t="n">
        <f aca="false">'🤖 Command R+'!J79</f>
        <v>0</v>
      </c>
    </row>
    <row r="245" customFormat="false" ht="15.75" hidden="false" customHeight="false" outlineLevel="0" collapsed="false">
      <c r="A245" s="128" t="n">
        <f aca="false">'🤖 Command R+'!$A$77</f>
        <v>0</v>
      </c>
      <c r="B245" s="4" t="s">
        <v>21</v>
      </c>
      <c r="C245" s="129" t="str">
        <f aca="false">'🤖 Command R+'!C80</f>
        <v>tldr</v>
      </c>
      <c r="D245" s="167" t="n">
        <f aca="false">'🤖 Command R+'!E80</f>
        <v>0.001901140684</v>
      </c>
      <c r="E245" s="129" t="n">
        <f aca="false">'🤖 Command R+'!F80</f>
        <v>0</v>
      </c>
      <c r="F245" s="129" t="n">
        <f aca="false">'🤖 Command R+'!G80</f>
        <v>0</v>
      </c>
      <c r="G245" s="129" t="n">
        <f aca="false">'🤖 Command R+'!H80</f>
        <v>0</v>
      </c>
      <c r="H245" s="129" t="n">
        <f aca="false">'🤖 Command R+'!I80</f>
        <v>0</v>
      </c>
      <c r="I245" s="129" t="n">
        <f aca="false">'🤖 Command R+'!J80</f>
        <v>0</v>
      </c>
    </row>
    <row r="246" customFormat="false" ht="15.75" hidden="false" customHeight="false" outlineLevel="0" collapsed="false">
      <c r="A246" s="128"/>
      <c r="B246" s="4"/>
      <c r="C246" s="6"/>
      <c r="D246" s="167"/>
      <c r="E246" s="6"/>
      <c r="F246" s="6"/>
      <c r="G246" s="6"/>
      <c r="H246" s="6"/>
      <c r="I246" s="6"/>
    </row>
    <row r="247" customFormat="false" ht="15.75" hidden="false" customHeight="false" outlineLevel="0" collapsed="false">
      <c r="A247" s="128" t="n">
        <f aca="false">'🤖 Command R+'!$A$82</f>
        <v>0</v>
      </c>
      <c r="B247" s="4" t="s">
        <v>21</v>
      </c>
      <c r="C247" s="129" t="str">
        <f aca="false">'🤖 Command R+'!C82</f>
        <v>Base</v>
      </c>
      <c r="D247" s="167" t="n">
        <f aca="false">'🤖 Command R+'!E82</f>
        <v>0.001901140684</v>
      </c>
      <c r="E247" s="129" t="n">
        <f aca="false">'🤖 Command R+'!F82</f>
        <v>0</v>
      </c>
      <c r="F247" s="129" t="n">
        <f aca="false">'🤖 Command R+'!G82</f>
        <v>0</v>
      </c>
      <c r="G247" s="129" t="n">
        <f aca="false">'🤖 Command R+'!H82</f>
        <v>0</v>
      </c>
      <c r="H247" s="129" t="n">
        <f aca="false">'🤖 Command R+'!I82</f>
        <v>0</v>
      </c>
      <c r="I247" s="129" t="n">
        <f aca="false">'🤖 Command R+'!J82</f>
        <v>0</v>
      </c>
    </row>
    <row r="248" customFormat="false" ht="15.75" hidden="false" customHeight="false" outlineLevel="0" collapsed="false">
      <c r="A248" s="128" t="n">
        <f aca="false">'🤖 Command R+'!$A$82</f>
        <v>0</v>
      </c>
      <c r="B248" s="4" t="s">
        <v>21</v>
      </c>
      <c r="C248" s="129" t="str">
        <f aca="false">'🤖 Command R+'!C83</f>
        <v>CoT</v>
      </c>
      <c r="D248" s="167" t="n">
        <f aca="false">'🤖 Command R+'!E83</f>
        <v>0.001901140684</v>
      </c>
      <c r="E248" s="129" t="n">
        <f aca="false">'🤖 Command R+'!F83</f>
        <v>0</v>
      </c>
      <c r="F248" s="129" t="n">
        <f aca="false">'🤖 Command R+'!G83</f>
        <v>0</v>
      </c>
      <c r="G248" s="129" t="n">
        <f aca="false">'🤖 Command R+'!H83</f>
        <v>0</v>
      </c>
      <c r="H248" s="129" t="n">
        <f aca="false">'🤖 Command R+'!I83</f>
        <v>0</v>
      </c>
      <c r="I248" s="129" t="n">
        <f aca="false">'🤖 Command R+'!J83</f>
        <v>0</v>
      </c>
    </row>
    <row r="249" customFormat="false" ht="15.75" hidden="false" customHeight="false" outlineLevel="0" collapsed="false">
      <c r="A249" s="128" t="n">
        <f aca="false">'🤖 Command R+'!$A$82</f>
        <v>0</v>
      </c>
      <c r="B249" s="4" t="s">
        <v>21</v>
      </c>
      <c r="C249" s="129" t="str">
        <f aca="false">'🤖 Command R+'!C84</f>
        <v>5W1H</v>
      </c>
      <c r="D249" s="167" t="n">
        <f aca="false">'🤖 Command R+'!E84</f>
        <v>0.001901140684</v>
      </c>
      <c r="E249" s="129" t="n">
        <f aca="false">'🤖 Command R+'!F84</f>
        <v>0</v>
      </c>
      <c r="F249" s="129" t="n">
        <f aca="false">'🤖 Command R+'!G84</f>
        <v>0</v>
      </c>
      <c r="G249" s="129" t="n">
        <f aca="false">'🤖 Command R+'!H84</f>
        <v>0</v>
      </c>
      <c r="H249" s="129" t="n">
        <f aca="false">'🤖 Command R+'!I84</f>
        <v>0</v>
      </c>
      <c r="I249" s="129" t="n">
        <f aca="false">'🤖 Command R+'!J84</f>
        <v>0</v>
      </c>
    </row>
    <row r="250" customFormat="false" ht="15.75" hidden="false" customHeight="false" outlineLevel="0" collapsed="false">
      <c r="A250" s="128" t="n">
        <f aca="false">'🤖 Command R+'!$A$82</f>
        <v>0</v>
      </c>
      <c r="B250" s="4" t="s">
        <v>21</v>
      </c>
      <c r="C250" s="129" t="str">
        <f aca="false">'🤖 Command R+'!C85</f>
        <v>tldr</v>
      </c>
      <c r="D250" s="167" t="n">
        <f aca="false">'🤖 Command R+'!E85</f>
        <v>0.001901140684</v>
      </c>
      <c r="E250" s="129" t="n">
        <f aca="false">'🤖 Command R+'!F85</f>
        <v>0</v>
      </c>
      <c r="F250" s="129" t="n">
        <f aca="false">'🤖 Command R+'!G85</f>
        <v>0</v>
      </c>
      <c r="G250" s="129" t="n">
        <f aca="false">'🤖 Command R+'!H85</f>
        <v>0</v>
      </c>
      <c r="H250" s="129" t="n">
        <f aca="false">'🤖 Command R+'!I85</f>
        <v>0</v>
      </c>
      <c r="I250" s="129" t="n">
        <f aca="false">'🤖 Command R+'!J85</f>
        <v>0</v>
      </c>
    </row>
    <row r="251" customFormat="false" ht="15.75" hidden="false" customHeight="false" outlineLevel="0" collapsed="false">
      <c r="A251" s="128"/>
      <c r="B251" s="4"/>
      <c r="C251" s="6"/>
      <c r="D251" s="167"/>
      <c r="E251" s="6"/>
      <c r="F251" s="6"/>
      <c r="G251" s="6"/>
      <c r="H251" s="6"/>
      <c r="I251" s="6"/>
    </row>
    <row r="252" customFormat="false" ht="15.75" hidden="false" customHeight="false" outlineLevel="0" collapsed="false">
      <c r="A252" s="128" t="n">
        <f aca="false">'🤖 Command R+'!$A$87</f>
        <v>0</v>
      </c>
      <c r="B252" s="4" t="s">
        <v>21</v>
      </c>
      <c r="C252" s="129" t="str">
        <f aca="false">'🤖 Command R+'!C87</f>
        <v>Base</v>
      </c>
      <c r="D252" s="167" t="n">
        <f aca="false">'🤖 Command R+'!E87</f>
        <v>0.001901140684</v>
      </c>
      <c r="E252" s="129" t="n">
        <f aca="false">'🤖 Command R+'!F87</f>
        <v>0</v>
      </c>
      <c r="F252" s="129" t="n">
        <f aca="false">'🤖 Command R+'!G87</f>
        <v>0</v>
      </c>
      <c r="G252" s="129" t="n">
        <f aca="false">'🤖 Command R+'!H87</f>
        <v>0</v>
      </c>
      <c r="H252" s="129" t="n">
        <f aca="false">'🤖 Command R+'!I87</f>
        <v>0</v>
      </c>
      <c r="I252" s="129" t="n">
        <f aca="false">'🤖 Command R+'!J87</f>
        <v>0</v>
      </c>
    </row>
    <row r="253" customFormat="false" ht="15.75" hidden="false" customHeight="false" outlineLevel="0" collapsed="false">
      <c r="A253" s="128" t="n">
        <f aca="false">'🤖 Command R+'!$A$87</f>
        <v>0</v>
      </c>
      <c r="B253" s="4" t="s">
        <v>21</v>
      </c>
      <c r="C253" s="129" t="str">
        <f aca="false">'🤖 Command R+'!C88</f>
        <v>CoT</v>
      </c>
      <c r="D253" s="167" t="n">
        <f aca="false">'🤖 Command R+'!E88</f>
        <v>0.001901140684</v>
      </c>
      <c r="E253" s="129" t="n">
        <f aca="false">'🤖 Command R+'!F88</f>
        <v>0</v>
      </c>
      <c r="F253" s="129" t="n">
        <f aca="false">'🤖 Command R+'!G88</f>
        <v>0</v>
      </c>
      <c r="G253" s="129" t="n">
        <f aca="false">'🤖 Command R+'!H88</f>
        <v>0</v>
      </c>
      <c r="H253" s="129" t="n">
        <f aca="false">'🤖 Command R+'!I88</f>
        <v>0</v>
      </c>
      <c r="I253" s="129" t="n">
        <f aca="false">'🤖 Command R+'!J88</f>
        <v>0</v>
      </c>
    </row>
    <row r="254" customFormat="false" ht="15.75" hidden="false" customHeight="false" outlineLevel="0" collapsed="false">
      <c r="A254" s="128" t="n">
        <f aca="false">'🤖 Command R+'!$A$87</f>
        <v>0</v>
      </c>
      <c r="B254" s="4" t="s">
        <v>21</v>
      </c>
      <c r="C254" s="129" t="str">
        <f aca="false">'🤖 Command R+'!C89</f>
        <v>5W1H</v>
      </c>
      <c r="D254" s="167" t="n">
        <f aca="false">'🤖 Command R+'!E89</f>
        <v>0.001901140684</v>
      </c>
      <c r="E254" s="129" t="n">
        <f aca="false">'🤖 Command R+'!F89</f>
        <v>0</v>
      </c>
      <c r="F254" s="129" t="n">
        <f aca="false">'🤖 Command R+'!G89</f>
        <v>0</v>
      </c>
      <c r="G254" s="129" t="n">
        <f aca="false">'🤖 Command R+'!H89</f>
        <v>0</v>
      </c>
      <c r="H254" s="129" t="n">
        <f aca="false">'🤖 Command R+'!I89</f>
        <v>0</v>
      </c>
      <c r="I254" s="129" t="n">
        <f aca="false">'🤖 Command R+'!J89</f>
        <v>0</v>
      </c>
    </row>
    <row r="255" customFormat="false" ht="15.75" hidden="false" customHeight="false" outlineLevel="0" collapsed="false">
      <c r="A255" s="128" t="n">
        <f aca="false">'🤖 Command R+'!$A$87</f>
        <v>0</v>
      </c>
      <c r="B255" s="4" t="s">
        <v>21</v>
      </c>
      <c r="C255" s="129" t="str">
        <f aca="false">'🤖 Command R+'!C90</f>
        <v>tldr</v>
      </c>
      <c r="D255" s="167" t="n">
        <f aca="false">'🤖 Command R+'!E90</f>
        <v>0.001901140684</v>
      </c>
      <c r="E255" s="129" t="n">
        <f aca="false">'🤖 Command R+'!F90</f>
        <v>0</v>
      </c>
      <c r="F255" s="129" t="n">
        <f aca="false">'🤖 Command R+'!G90</f>
        <v>0</v>
      </c>
      <c r="G255" s="129" t="n">
        <f aca="false">'🤖 Command R+'!H90</f>
        <v>0</v>
      </c>
      <c r="H255" s="129" t="n">
        <f aca="false">'🤖 Command R+'!I90</f>
        <v>0</v>
      </c>
      <c r="I255" s="129" t="n">
        <f aca="false">'🤖 Command R+'!J90</f>
        <v>0</v>
      </c>
    </row>
    <row r="256" customFormat="false" ht="15.75" hidden="false" customHeight="false" outlineLevel="0" collapsed="false">
      <c r="A256" s="128"/>
      <c r="B256" s="4"/>
      <c r="C256" s="6"/>
      <c r="D256" s="167"/>
      <c r="E256" s="6"/>
      <c r="F256" s="6"/>
      <c r="G256" s="6"/>
      <c r="H256" s="6"/>
      <c r="I256" s="6"/>
    </row>
    <row r="257" customFormat="false" ht="15.75" hidden="false" customHeight="false" outlineLevel="0" collapsed="false">
      <c r="A257" s="128" t="n">
        <f aca="false">'🤖 Command R+'!$A$92</f>
        <v>0</v>
      </c>
      <c r="B257" s="4" t="s">
        <v>21</v>
      </c>
      <c r="C257" s="129" t="str">
        <f aca="false">'🤖 Command R+'!C92</f>
        <v>Base</v>
      </c>
      <c r="D257" s="167" t="n">
        <f aca="false">'🤖 Command R+'!E92</f>
        <v>0.001901140684</v>
      </c>
      <c r="E257" s="129" t="n">
        <f aca="false">'🤖 Command R+'!F92</f>
        <v>0</v>
      </c>
      <c r="F257" s="129" t="n">
        <f aca="false">'🤖 Command R+'!G92</f>
        <v>0</v>
      </c>
      <c r="G257" s="129" t="n">
        <f aca="false">'🤖 Command R+'!H92</f>
        <v>0</v>
      </c>
      <c r="H257" s="129" t="n">
        <f aca="false">'🤖 Command R+'!I92</f>
        <v>0</v>
      </c>
      <c r="I257" s="129" t="n">
        <f aca="false">'🤖 Command R+'!J92</f>
        <v>0</v>
      </c>
    </row>
    <row r="258" customFormat="false" ht="15.75" hidden="false" customHeight="false" outlineLevel="0" collapsed="false">
      <c r="A258" s="128" t="n">
        <f aca="false">'🤖 Command R+'!$A$92</f>
        <v>0</v>
      </c>
      <c r="B258" s="4" t="s">
        <v>21</v>
      </c>
      <c r="C258" s="129" t="str">
        <f aca="false">'🤖 Command R+'!C93</f>
        <v>CoT</v>
      </c>
      <c r="D258" s="167" t="n">
        <f aca="false">'🤖 Command R+'!E93</f>
        <v>0.001901140684</v>
      </c>
      <c r="E258" s="129" t="n">
        <f aca="false">'🤖 Command R+'!F93</f>
        <v>0</v>
      </c>
      <c r="F258" s="129" t="n">
        <f aca="false">'🤖 Command R+'!G93</f>
        <v>0</v>
      </c>
      <c r="G258" s="129" t="n">
        <f aca="false">'🤖 Command R+'!H93</f>
        <v>0</v>
      </c>
      <c r="H258" s="129" t="n">
        <f aca="false">'🤖 Command R+'!I93</f>
        <v>0</v>
      </c>
      <c r="I258" s="129" t="n">
        <f aca="false">'🤖 Command R+'!J93</f>
        <v>0</v>
      </c>
    </row>
    <row r="259" customFormat="false" ht="15.75" hidden="false" customHeight="false" outlineLevel="0" collapsed="false">
      <c r="A259" s="128" t="n">
        <f aca="false">'🤖 Command R+'!$A$92</f>
        <v>0</v>
      </c>
      <c r="B259" s="4" t="s">
        <v>21</v>
      </c>
      <c r="C259" s="129" t="str">
        <f aca="false">'🤖 Command R+'!C94</f>
        <v>5W1H</v>
      </c>
      <c r="D259" s="167" t="n">
        <f aca="false">'🤖 Command R+'!E94</f>
        <v>0.001901140684</v>
      </c>
      <c r="E259" s="129" t="n">
        <f aca="false">'🤖 Command R+'!F94</f>
        <v>0</v>
      </c>
      <c r="F259" s="129" t="n">
        <f aca="false">'🤖 Command R+'!G94</f>
        <v>0</v>
      </c>
      <c r="G259" s="129" t="n">
        <f aca="false">'🤖 Command R+'!H94</f>
        <v>0</v>
      </c>
      <c r="H259" s="129" t="n">
        <f aca="false">'🤖 Command R+'!I94</f>
        <v>0</v>
      </c>
      <c r="I259" s="129" t="n">
        <f aca="false">'🤖 Command R+'!J94</f>
        <v>0</v>
      </c>
    </row>
    <row r="260" customFormat="false" ht="15.75" hidden="false" customHeight="false" outlineLevel="0" collapsed="false">
      <c r="A260" s="128" t="n">
        <f aca="false">'🤖 Command R+'!$A$92</f>
        <v>0</v>
      </c>
      <c r="B260" s="4" t="s">
        <v>21</v>
      </c>
      <c r="C260" s="129" t="str">
        <f aca="false">'🤖 Command R+'!C95</f>
        <v>tldr</v>
      </c>
      <c r="D260" s="167" t="n">
        <f aca="false">'🤖 Command R+'!E95</f>
        <v>0.001901140684</v>
      </c>
      <c r="E260" s="129" t="n">
        <f aca="false">'🤖 Command R+'!F95</f>
        <v>0</v>
      </c>
      <c r="F260" s="129" t="n">
        <f aca="false">'🤖 Command R+'!G95</f>
        <v>0</v>
      </c>
      <c r="G260" s="129" t="n">
        <f aca="false">'🤖 Command R+'!H95</f>
        <v>0</v>
      </c>
      <c r="H260" s="129" t="n">
        <f aca="false">'🤖 Command R+'!I95</f>
        <v>0</v>
      </c>
      <c r="I260" s="129" t="n">
        <f aca="false">'🤖 Command R+'!J95</f>
        <v>0</v>
      </c>
    </row>
    <row r="261" customFormat="false" ht="15.75" hidden="false" customHeight="false" outlineLevel="0" collapsed="false">
      <c r="A261" s="128"/>
      <c r="B261" s="4"/>
      <c r="C261" s="6"/>
      <c r="D261" s="167"/>
      <c r="E261" s="6"/>
      <c r="F261" s="6"/>
      <c r="G261" s="6"/>
      <c r="H261" s="6"/>
      <c r="I261" s="6"/>
    </row>
    <row r="262" customFormat="false" ht="15.75" hidden="false" customHeight="false" outlineLevel="0" collapsed="false">
      <c r="A262" s="128" t="n">
        <f aca="false">'🤖 Command R+'!$A$97</f>
        <v>0</v>
      </c>
      <c r="B262" s="4" t="s">
        <v>21</v>
      </c>
      <c r="C262" s="129" t="str">
        <f aca="false">'🤖 Command R+'!C97</f>
        <v>Base</v>
      </c>
      <c r="D262" s="167" t="n">
        <f aca="false">'🤖 Command R+'!E97</f>
        <v>0.001901140684</v>
      </c>
      <c r="E262" s="129" t="n">
        <f aca="false">'🤖 Command R+'!F97</f>
        <v>0</v>
      </c>
      <c r="F262" s="129" t="n">
        <f aca="false">'🤖 Command R+'!G97</f>
        <v>0</v>
      </c>
      <c r="G262" s="129" t="n">
        <f aca="false">'🤖 Command R+'!H97</f>
        <v>0</v>
      </c>
      <c r="H262" s="129" t="n">
        <f aca="false">'🤖 Command R+'!I97</f>
        <v>0</v>
      </c>
      <c r="I262" s="129" t="n">
        <f aca="false">'🤖 Command R+'!J97</f>
        <v>0</v>
      </c>
    </row>
    <row r="263" customFormat="false" ht="15.75" hidden="false" customHeight="false" outlineLevel="0" collapsed="false">
      <c r="A263" s="128" t="n">
        <f aca="false">'🤖 Command R+'!$A$97</f>
        <v>0</v>
      </c>
      <c r="B263" s="4" t="s">
        <v>21</v>
      </c>
      <c r="C263" s="129" t="str">
        <f aca="false">'🤖 Command R+'!C98</f>
        <v>CoT</v>
      </c>
      <c r="D263" s="167" t="n">
        <f aca="false">'🤖 Command R+'!E98</f>
        <v>0.001901140684</v>
      </c>
      <c r="E263" s="129" t="n">
        <f aca="false">'🤖 Command R+'!F98</f>
        <v>0</v>
      </c>
      <c r="F263" s="129" t="n">
        <f aca="false">'🤖 Command R+'!G98</f>
        <v>0</v>
      </c>
      <c r="G263" s="129" t="n">
        <f aca="false">'🤖 Command R+'!H98</f>
        <v>0</v>
      </c>
      <c r="H263" s="129" t="n">
        <f aca="false">'🤖 Command R+'!I98</f>
        <v>0</v>
      </c>
      <c r="I263" s="129" t="n">
        <f aca="false">'🤖 Command R+'!J98</f>
        <v>0</v>
      </c>
    </row>
    <row r="264" customFormat="false" ht="15.75" hidden="false" customHeight="false" outlineLevel="0" collapsed="false">
      <c r="A264" s="128" t="n">
        <f aca="false">'🤖 Command R+'!$A$97</f>
        <v>0</v>
      </c>
      <c r="B264" s="4" t="s">
        <v>21</v>
      </c>
      <c r="C264" s="129" t="str">
        <f aca="false">'🤖 Command R+'!C99</f>
        <v>5W1H</v>
      </c>
      <c r="D264" s="167" t="n">
        <f aca="false">'🤖 Command R+'!E99</f>
        <v>0.001901140684</v>
      </c>
      <c r="E264" s="129" t="n">
        <f aca="false">'🤖 Command R+'!F99</f>
        <v>0</v>
      </c>
      <c r="F264" s="129" t="n">
        <f aca="false">'🤖 Command R+'!G99</f>
        <v>0</v>
      </c>
      <c r="G264" s="129" t="n">
        <f aca="false">'🤖 Command R+'!H99</f>
        <v>0</v>
      </c>
      <c r="H264" s="129" t="n">
        <f aca="false">'🤖 Command R+'!I99</f>
        <v>0</v>
      </c>
      <c r="I264" s="129" t="n">
        <f aca="false">'🤖 Command R+'!J99</f>
        <v>0</v>
      </c>
    </row>
    <row r="265" customFormat="false" ht="15.75" hidden="false" customHeight="false" outlineLevel="0" collapsed="false">
      <c r="A265" s="128" t="n">
        <f aca="false">'🤖 Command R+'!$A$97</f>
        <v>0</v>
      </c>
      <c r="B265" s="4" t="s">
        <v>21</v>
      </c>
      <c r="C265" s="129" t="str">
        <f aca="false">'🤖 Command R+'!C100</f>
        <v>tldr</v>
      </c>
      <c r="D265" s="167" t="n">
        <f aca="false">'🤖 Command R+'!E100</f>
        <v>0.001901140684</v>
      </c>
      <c r="E265" s="129" t="n">
        <f aca="false">'🤖 Command R+'!F100</f>
        <v>0</v>
      </c>
      <c r="F265" s="129" t="n">
        <f aca="false">'🤖 Command R+'!G100</f>
        <v>0</v>
      </c>
      <c r="G265" s="129" t="n">
        <f aca="false">'🤖 Command R+'!H100</f>
        <v>0</v>
      </c>
      <c r="H265" s="129" t="n">
        <f aca="false">'🤖 Command R+'!I100</f>
        <v>0</v>
      </c>
      <c r="I265" s="129" t="n">
        <f aca="false">'🤖 Command R+'!J100</f>
        <v>0</v>
      </c>
    </row>
    <row r="266" customFormat="false" ht="15.75" hidden="false" customHeight="false" outlineLevel="0" collapsed="false">
      <c r="A266" s="128"/>
      <c r="B266" s="4"/>
      <c r="C266" s="6"/>
      <c r="D266" s="167"/>
      <c r="E266" s="6"/>
      <c r="F266" s="6"/>
      <c r="G266" s="6"/>
      <c r="H266" s="6"/>
      <c r="I266" s="6"/>
    </row>
    <row r="267" customFormat="false" ht="15.75" hidden="false" customHeight="false" outlineLevel="0" collapsed="false">
      <c r="A267" s="128" t="n">
        <f aca="false">'🤖 Command R+'!$A$102</f>
        <v>0</v>
      </c>
      <c r="B267" s="4" t="s">
        <v>21</v>
      </c>
      <c r="C267" s="129" t="str">
        <f aca="false">'🤖 Command R+'!C102</f>
        <v>Base</v>
      </c>
      <c r="D267" s="167" t="n">
        <f aca="false">'🤖 Command R+'!E102</f>
        <v>0.001901140684</v>
      </c>
      <c r="E267" s="129" t="n">
        <f aca="false">'🤖 Command R+'!F102</f>
        <v>0</v>
      </c>
      <c r="F267" s="129" t="n">
        <f aca="false">'🤖 Command R+'!G102</f>
        <v>0</v>
      </c>
      <c r="G267" s="129" t="n">
        <f aca="false">'🤖 Command R+'!H102</f>
        <v>0</v>
      </c>
      <c r="H267" s="129" t="n">
        <f aca="false">'🤖 Command R+'!I102</f>
        <v>0</v>
      </c>
      <c r="I267" s="129" t="n">
        <f aca="false">'🤖 Command R+'!J102</f>
        <v>0</v>
      </c>
    </row>
    <row r="268" customFormat="false" ht="15.75" hidden="false" customHeight="false" outlineLevel="0" collapsed="false">
      <c r="A268" s="128" t="n">
        <f aca="false">'🤖 Command R+'!$A$102</f>
        <v>0</v>
      </c>
      <c r="B268" s="4" t="s">
        <v>21</v>
      </c>
      <c r="C268" s="129" t="str">
        <f aca="false">'🤖 Command R+'!C103</f>
        <v>CoT</v>
      </c>
      <c r="D268" s="167" t="n">
        <f aca="false">'🤖 Command R+'!E103</f>
        <v>0.001901140684</v>
      </c>
      <c r="E268" s="129" t="n">
        <f aca="false">'🤖 Command R+'!F103</f>
        <v>0</v>
      </c>
      <c r="F268" s="129" t="n">
        <f aca="false">'🤖 Command R+'!G103</f>
        <v>0</v>
      </c>
      <c r="G268" s="129" t="n">
        <f aca="false">'🤖 Command R+'!H103</f>
        <v>0</v>
      </c>
      <c r="H268" s="129" t="n">
        <f aca="false">'🤖 Command R+'!I103</f>
        <v>0</v>
      </c>
      <c r="I268" s="129" t="n">
        <f aca="false">'🤖 Command R+'!J103</f>
        <v>0</v>
      </c>
    </row>
    <row r="269" customFormat="false" ht="15.75" hidden="false" customHeight="false" outlineLevel="0" collapsed="false">
      <c r="A269" s="128" t="n">
        <f aca="false">'🤖 Command R+'!$A$102</f>
        <v>0</v>
      </c>
      <c r="B269" s="4" t="s">
        <v>21</v>
      </c>
      <c r="C269" s="129" t="str">
        <f aca="false">'🤖 Command R+'!C104</f>
        <v>5W1H</v>
      </c>
      <c r="D269" s="167" t="n">
        <f aca="false">'🤖 Command R+'!E104</f>
        <v>0.001901140684</v>
      </c>
      <c r="E269" s="129" t="n">
        <f aca="false">'🤖 Command R+'!F104</f>
        <v>0</v>
      </c>
      <c r="F269" s="129" t="n">
        <f aca="false">'🤖 Command R+'!G104</f>
        <v>0</v>
      </c>
      <c r="G269" s="129" t="n">
        <f aca="false">'🤖 Command R+'!H104</f>
        <v>0</v>
      </c>
      <c r="H269" s="129" t="n">
        <f aca="false">'🤖 Command R+'!I104</f>
        <v>0</v>
      </c>
      <c r="I269" s="129" t="n">
        <f aca="false">'🤖 Command R+'!J104</f>
        <v>0</v>
      </c>
    </row>
    <row r="270" customFormat="false" ht="15.75" hidden="false" customHeight="false" outlineLevel="0" collapsed="false">
      <c r="A270" s="128" t="n">
        <f aca="false">'🤖 Command R+'!$A$102</f>
        <v>0</v>
      </c>
      <c r="B270" s="4" t="s">
        <v>21</v>
      </c>
      <c r="C270" s="129" t="str">
        <f aca="false">'🤖 Command R+'!C105</f>
        <v>tldr</v>
      </c>
      <c r="D270" s="167" t="n">
        <f aca="false">'🤖 Command R+'!E105</f>
        <v>0.001901140684</v>
      </c>
      <c r="E270" s="129" t="n">
        <f aca="false">'🤖 Command R+'!F105</f>
        <v>0</v>
      </c>
      <c r="F270" s="129" t="n">
        <f aca="false">'🤖 Command R+'!G105</f>
        <v>0</v>
      </c>
      <c r="G270" s="129" t="n">
        <f aca="false">'🤖 Command R+'!H105</f>
        <v>0</v>
      </c>
      <c r="H270" s="129" t="n">
        <f aca="false">'🤖 Command R+'!I105</f>
        <v>0</v>
      </c>
      <c r="I270" s="129" t="n">
        <f aca="false">'🤖 Command R+'!J105</f>
        <v>0</v>
      </c>
    </row>
    <row r="271" customFormat="false" ht="15.75" hidden="false" customHeight="false" outlineLevel="0" collapsed="false">
      <c r="A271" s="128"/>
      <c r="B271" s="4"/>
      <c r="C271" s="6"/>
      <c r="D271" s="167"/>
      <c r="E271" s="6"/>
      <c r="F271" s="6"/>
      <c r="G271" s="6"/>
      <c r="H271" s="6"/>
      <c r="I271" s="6"/>
    </row>
    <row r="272" customFormat="false" ht="15.75" hidden="false" customHeight="false" outlineLevel="0" collapsed="false">
      <c r="A272" s="128" t="n">
        <f aca="false">'🤖 Command R+'!$A$107</f>
        <v>0</v>
      </c>
      <c r="B272" s="4" t="s">
        <v>21</v>
      </c>
      <c r="C272" s="129" t="str">
        <f aca="false">'🤖 Command R+'!C107</f>
        <v>Base</v>
      </c>
      <c r="D272" s="167" t="n">
        <f aca="false">'🤖 Command R+'!E107</f>
        <v>0.001901140684</v>
      </c>
      <c r="E272" s="129" t="n">
        <f aca="false">'🤖 Command R+'!F107</f>
        <v>0</v>
      </c>
      <c r="F272" s="129" t="n">
        <f aca="false">'🤖 Command R+'!G107</f>
        <v>0</v>
      </c>
      <c r="G272" s="129" t="n">
        <f aca="false">'🤖 Command R+'!H107</f>
        <v>0</v>
      </c>
      <c r="H272" s="129" t="n">
        <f aca="false">'🤖 Command R+'!I107</f>
        <v>0</v>
      </c>
      <c r="I272" s="129" t="n">
        <f aca="false">'🤖 Command R+'!J107</f>
        <v>0</v>
      </c>
    </row>
    <row r="273" customFormat="false" ht="15.75" hidden="false" customHeight="false" outlineLevel="0" collapsed="false">
      <c r="A273" s="128" t="n">
        <f aca="false">'🤖 Command R+'!$A$107</f>
        <v>0</v>
      </c>
      <c r="B273" s="4" t="s">
        <v>21</v>
      </c>
      <c r="C273" s="129" t="str">
        <f aca="false">'🤖 Command R+'!C108</f>
        <v>CoT</v>
      </c>
      <c r="D273" s="167" t="n">
        <f aca="false">'🤖 Command R+'!E108</f>
        <v>0.001901140684</v>
      </c>
      <c r="E273" s="129" t="n">
        <f aca="false">'🤖 Command R+'!F108</f>
        <v>0</v>
      </c>
      <c r="F273" s="129" t="n">
        <f aca="false">'🤖 Command R+'!G108</f>
        <v>0</v>
      </c>
      <c r="G273" s="129" t="n">
        <f aca="false">'🤖 Command R+'!H108</f>
        <v>0</v>
      </c>
      <c r="H273" s="129" t="n">
        <f aca="false">'🤖 Command R+'!I108</f>
        <v>0</v>
      </c>
      <c r="I273" s="129" t="n">
        <f aca="false">'🤖 Command R+'!J108</f>
        <v>0</v>
      </c>
    </row>
    <row r="274" customFormat="false" ht="15.75" hidden="false" customHeight="false" outlineLevel="0" collapsed="false">
      <c r="A274" s="128" t="n">
        <f aca="false">'🤖 Command R+'!$A$107</f>
        <v>0</v>
      </c>
      <c r="B274" s="4" t="s">
        <v>21</v>
      </c>
      <c r="C274" s="129" t="str">
        <f aca="false">'🤖 Command R+'!C109</f>
        <v>5W1H</v>
      </c>
      <c r="D274" s="167" t="n">
        <f aca="false">'🤖 Command R+'!E109</f>
        <v>0.001901140684</v>
      </c>
      <c r="E274" s="129" t="n">
        <f aca="false">'🤖 Command R+'!F109</f>
        <v>0</v>
      </c>
      <c r="F274" s="129" t="n">
        <f aca="false">'🤖 Command R+'!G109</f>
        <v>0</v>
      </c>
      <c r="G274" s="129" t="n">
        <f aca="false">'🤖 Command R+'!H109</f>
        <v>0</v>
      </c>
      <c r="H274" s="129" t="n">
        <f aca="false">'🤖 Command R+'!I109</f>
        <v>0</v>
      </c>
      <c r="I274" s="129" t="n">
        <f aca="false">'🤖 Command R+'!J109</f>
        <v>0</v>
      </c>
    </row>
    <row r="275" customFormat="false" ht="15.75" hidden="false" customHeight="false" outlineLevel="0" collapsed="false">
      <c r="A275" s="128" t="n">
        <f aca="false">'🤖 Command R+'!$A$107</f>
        <v>0</v>
      </c>
      <c r="B275" s="4" t="s">
        <v>21</v>
      </c>
      <c r="C275" s="129" t="str">
        <f aca="false">'🤖 Command R+'!C110</f>
        <v>tldr</v>
      </c>
      <c r="D275" s="167" t="n">
        <f aca="false">'🤖 Command R+'!E110</f>
        <v>0.001901140684</v>
      </c>
      <c r="E275" s="129" t="n">
        <f aca="false">'🤖 Command R+'!F110</f>
        <v>0</v>
      </c>
      <c r="F275" s="129" t="n">
        <f aca="false">'🤖 Command R+'!G110</f>
        <v>0</v>
      </c>
      <c r="G275" s="129" t="n">
        <f aca="false">'🤖 Command R+'!H110</f>
        <v>0</v>
      </c>
      <c r="H275" s="129" t="n">
        <f aca="false">'🤖 Command R+'!I110</f>
        <v>0</v>
      </c>
      <c r="I275" s="129" t="n">
        <f aca="false">'🤖 Command R+'!J110</f>
        <v>0</v>
      </c>
    </row>
    <row r="276" customFormat="false" ht="15.75" hidden="false" customHeight="false" outlineLevel="0" collapsed="false">
      <c r="A276" s="128"/>
      <c r="B276" s="4"/>
      <c r="C276" s="6"/>
      <c r="D276" s="167"/>
      <c r="E276" s="6"/>
      <c r="F276" s="6"/>
      <c r="G276" s="6"/>
      <c r="H276" s="6"/>
      <c r="I276" s="6"/>
    </row>
    <row r="277" customFormat="false" ht="15.75" hidden="false" customHeight="false" outlineLevel="0" collapsed="false">
      <c r="A277" s="128" t="n">
        <f aca="false">'🤖 Command R+'!$A$112</f>
        <v>0</v>
      </c>
      <c r="B277" s="4" t="s">
        <v>21</v>
      </c>
      <c r="C277" s="129" t="str">
        <f aca="false">'🤖 Command R+'!C112</f>
        <v>Base</v>
      </c>
      <c r="D277" s="167" t="n">
        <f aca="false">'🤖 Command R+'!E112</f>
        <v>0.001901140684</v>
      </c>
      <c r="E277" s="129" t="n">
        <f aca="false">'🤖 Command R+'!F112</f>
        <v>0</v>
      </c>
      <c r="F277" s="129" t="n">
        <f aca="false">'🤖 Command R+'!G112</f>
        <v>0</v>
      </c>
      <c r="G277" s="129" t="n">
        <f aca="false">'🤖 Command R+'!H112</f>
        <v>0</v>
      </c>
      <c r="H277" s="129" t="n">
        <f aca="false">'🤖 Command R+'!I112</f>
        <v>0</v>
      </c>
      <c r="I277" s="129" t="n">
        <f aca="false">'🤖 Command R+'!J112</f>
        <v>0</v>
      </c>
    </row>
    <row r="278" customFormat="false" ht="15.75" hidden="false" customHeight="false" outlineLevel="0" collapsed="false">
      <c r="A278" s="128" t="n">
        <f aca="false">'🤖 Command R+'!$A$112</f>
        <v>0</v>
      </c>
      <c r="B278" s="4" t="s">
        <v>21</v>
      </c>
      <c r="C278" s="129" t="str">
        <f aca="false">'🤖 Command R+'!C113</f>
        <v>CoT</v>
      </c>
      <c r="D278" s="167" t="n">
        <f aca="false">'🤖 Command R+'!E113</f>
        <v>0.001901140684</v>
      </c>
      <c r="E278" s="129" t="n">
        <f aca="false">'🤖 Command R+'!F113</f>
        <v>0</v>
      </c>
      <c r="F278" s="129" t="n">
        <f aca="false">'🤖 Command R+'!G113</f>
        <v>0</v>
      </c>
      <c r="G278" s="129" t="n">
        <f aca="false">'🤖 Command R+'!H113</f>
        <v>0</v>
      </c>
      <c r="H278" s="129" t="n">
        <f aca="false">'🤖 Command R+'!I113</f>
        <v>0</v>
      </c>
      <c r="I278" s="129" t="n">
        <f aca="false">'🤖 Command R+'!J113</f>
        <v>0</v>
      </c>
    </row>
    <row r="279" customFormat="false" ht="15.75" hidden="false" customHeight="false" outlineLevel="0" collapsed="false">
      <c r="A279" s="128" t="n">
        <f aca="false">'🤖 Command R+'!$A$112</f>
        <v>0</v>
      </c>
      <c r="B279" s="4" t="s">
        <v>21</v>
      </c>
      <c r="C279" s="129" t="str">
        <f aca="false">'🤖 Command R+'!C114</f>
        <v>5W1H</v>
      </c>
      <c r="D279" s="167" t="n">
        <f aca="false">'🤖 Command R+'!E114</f>
        <v>0.001901140684</v>
      </c>
      <c r="E279" s="129" t="n">
        <f aca="false">'🤖 Command R+'!F114</f>
        <v>0</v>
      </c>
      <c r="F279" s="129" t="n">
        <f aca="false">'🤖 Command R+'!G114</f>
        <v>0</v>
      </c>
      <c r="G279" s="129" t="n">
        <f aca="false">'🤖 Command R+'!H114</f>
        <v>0</v>
      </c>
      <c r="H279" s="129" t="n">
        <f aca="false">'🤖 Command R+'!I114</f>
        <v>0</v>
      </c>
      <c r="I279" s="129" t="n">
        <f aca="false">'🤖 Command R+'!J114</f>
        <v>0</v>
      </c>
    </row>
    <row r="280" customFormat="false" ht="15.75" hidden="false" customHeight="false" outlineLevel="0" collapsed="false">
      <c r="A280" s="128" t="n">
        <f aca="false">'🤖 Command R+'!$A$112</f>
        <v>0</v>
      </c>
      <c r="B280" s="4" t="s">
        <v>21</v>
      </c>
      <c r="C280" s="129" t="str">
        <f aca="false">'🤖 Command R+'!C115</f>
        <v>tldr</v>
      </c>
      <c r="D280" s="167" t="n">
        <f aca="false">'🤖 Command R+'!E115</f>
        <v>0.001901140684</v>
      </c>
      <c r="E280" s="129" t="n">
        <f aca="false">'🤖 Command R+'!F115</f>
        <v>0</v>
      </c>
      <c r="F280" s="129" t="n">
        <f aca="false">'🤖 Command R+'!G115</f>
        <v>0</v>
      </c>
      <c r="G280" s="129" t="n">
        <f aca="false">'🤖 Command R+'!H115</f>
        <v>0</v>
      </c>
      <c r="H280" s="129" t="n">
        <f aca="false">'🤖 Command R+'!I115</f>
        <v>0</v>
      </c>
      <c r="I280" s="129" t="n">
        <f aca="false">'🤖 Command R+'!J115</f>
        <v>0</v>
      </c>
    </row>
    <row r="281" customFormat="false" ht="15.75" hidden="false" customHeight="false" outlineLevel="0" collapsed="false">
      <c r="A281" s="128"/>
      <c r="B281" s="4"/>
      <c r="C281" s="6"/>
      <c r="D281" s="167"/>
      <c r="E281" s="6"/>
      <c r="F281" s="6"/>
      <c r="G281" s="6"/>
      <c r="H281" s="6"/>
      <c r="I281" s="6"/>
    </row>
    <row r="282" customFormat="false" ht="15.75" hidden="false" customHeight="false" outlineLevel="0" collapsed="false">
      <c r="A282" s="128" t="n">
        <f aca="false">'🤖 Command R+'!$A$117</f>
        <v>0</v>
      </c>
      <c r="B282" s="4" t="s">
        <v>21</v>
      </c>
      <c r="C282" s="129" t="str">
        <f aca="false">'🤖 Command R+'!C117</f>
        <v>Base</v>
      </c>
      <c r="D282" s="167" t="n">
        <f aca="false">'🤖 Command R+'!E117</f>
        <v>0.001901140684</v>
      </c>
      <c r="E282" s="129" t="n">
        <f aca="false">'🤖 Command R+'!F117</f>
        <v>0</v>
      </c>
      <c r="F282" s="129" t="n">
        <f aca="false">'🤖 Command R+'!G117</f>
        <v>0</v>
      </c>
      <c r="G282" s="129" t="n">
        <f aca="false">'🤖 Command R+'!H117</f>
        <v>0</v>
      </c>
      <c r="H282" s="129" t="n">
        <f aca="false">'🤖 Command R+'!I117</f>
        <v>0</v>
      </c>
      <c r="I282" s="129" t="n">
        <f aca="false">'🤖 Command R+'!J117</f>
        <v>0</v>
      </c>
    </row>
    <row r="283" customFormat="false" ht="15.75" hidden="false" customHeight="false" outlineLevel="0" collapsed="false">
      <c r="A283" s="128" t="n">
        <f aca="false">'🤖 Command R+'!$A$117</f>
        <v>0</v>
      </c>
      <c r="B283" s="4" t="s">
        <v>21</v>
      </c>
      <c r="C283" s="129" t="str">
        <f aca="false">'🤖 Command R+'!C118</f>
        <v>CoT</v>
      </c>
      <c r="D283" s="167" t="n">
        <f aca="false">'🤖 Command R+'!E118</f>
        <v>0.001901140684</v>
      </c>
      <c r="E283" s="129" t="n">
        <f aca="false">'🤖 Command R+'!F118</f>
        <v>0</v>
      </c>
      <c r="F283" s="129" t="n">
        <f aca="false">'🤖 Command R+'!G118</f>
        <v>0</v>
      </c>
      <c r="G283" s="129" t="n">
        <f aca="false">'🤖 Command R+'!H118</f>
        <v>0</v>
      </c>
      <c r="H283" s="129" t="n">
        <f aca="false">'🤖 Command R+'!I118</f>
        <v>0</v>
      </c>
      <c r="I283" s="129" t="n">
        <f aca="false">'🤖 Command R+'!J118</f>
        <v>0</v>
      </c>
    </row>
    <row r="284" customFormat="false" ht="15.75" hidden="false" customHeight="false" outlineLevel="0" collapsed="false">
      <c r="A284" s="128" t="n">
        <f aca="false">'🤖 Command R+'!$A$117</f>
        <v>0</v>
      </c>
      <c r="B284" s="4" t="s">
        <v>21</v>
      </c>
      <c r="C284" s="129" t="str">
        <f aca="false">'🤖 Command R+'!C119</f>
        <v>5W1H</v>
      </c>
      <c r="D284" s="167" t="n">
        <f aca="false">'🤖 Command R+'!E119</f>
        <v>0.001901140684</v>
      </c>
      <c r="E284" s="129" t="n">
        <f aca="false">'🤖 Command R+'!F119</f>
        <v>0</v>
      </c>
      <c r="F284" s="129" t="n">
        <f aca="false">'🤖 Command R+'!G119</f>
        <v>0</v>
      </c>
      <c r="G284" s="129" t="n">
        <f aca="false">'🤖 Command R+'!H119</f>
        <v>0</v>
      </c>
      <c r="H284" s="129" t="n">
        <f aca="false">'🤖 Command R+'!I119</f>
        <v>0</v>
      </c>
      <c r="I284" s="129" t="n">
        <f aca="false">'🤖 Command R+'!J119</f>
        <v>0</v>
      </c>
    </row>
    <row r="285" customFormat="false" ht="15.75" hidden="false" customHeight="false" outlineLevel="0" collapsed="false">
      <c r="A285" s="128" t="n">
        <f aca="false">'🤖 Command R+'!$A$117</f>
        <v>0</v>
      </c>
      <c r="B285" s="4" t="s">
        <v>21</v>
      </c>
      <c r="C285" s="129" t="str">
        <f aca="false">'🤖 Command R+'!C120</f>
        <v>tldr</v>
      </c>
      <c r="D285" s="167" t="n">
        <f aca="false">'🤖 Command R+'!E120</f>
        <v>0.001901140684</v>
      </c>
      <c r="E285" s="129" t="n">
        <f aca="false">'🤖 Command R+'!F120</f>
        <v>0</v>
      </c>
      <c r="F285" s="129" t="n">
        <f aca="false">'🤖 Command R+'!G120</f>
        <v>0</v>
      </c>
      <c r="G285" s="129" t="n">
        <f aca="false">'🤖 Command R+'!H120</f>
        <v>0</v>
      </c>
      <c r="H285" s="129" t="n">
        <f aca="false">'🤖 Command R+'!I120</f>
        <v>0</v>
      </c>
      <c r="I285" s="129" t="n">
        <f aca="false">'🤖 Command R+'!J120</f>
        <v>0</v>
      </c>
    </row>
    <row r="286" customFormat="false" ht="15.75" hidden="false" customHeight="false" outlineLevel="0" collapsed="false">
      <c r="A286" s="128"/>
      <c r="B286" s="4"/>
      <c r="C286" s="6"/>
      <c r="D286" s="167"/>
      <c r="E286" s="6"/>
      <c r="F286" s="6"/>
      <c r="G286" s="6"/>
      <c r="H286" s="6"/>
      <c r="I286" s="6"/>
    </row>
    <row r="287" customFormat="false" ht="15.75" hidden="false" customHeight="false" outlineLevel="0" collapsed="false">
      <c r="A287" s="128" t="n">
        <f aca="false">'🤖 Command R+'!$A$122</f>
        <v>0</v>
      </c>
      <c r="B287" s="4" t="s">
        <v>21</v>
      </c>
      <c r="C287" s="129" t="str">
        <f aca="false">'🤖 Command R+'!C122</f>
        <v>Base</v>
      </c>
      <c r="D287" s="167" t="n">
        <f aca="false">'🤖 Command R+'!E122</f>
        <v>0.001901140684</v>
      </c>
      <c r="E287" s="129" t="n">
        <f aca="false">'🤖 Command R+'!F122</f>
        <v>0</v>
      </c>
      <c r="F287" s="129" t="n">
        <f aca="false">'🤖 Command R+'!G122</f>
        <v>0</v>
      </c>
      <c r="G287" s="129" t="n">
        <f aca="false">'🤖 Command R+'!H122</f>
        <v>0</v>
      </c>
      <c r="H287" s="129" t="n">
        <f aca="false">'🤖 Command R+'!I122</f>
        <v>0</v>
      </c>
      <c r="I287" s="129" t="n">
        <f aca="false">'🤖 Command R+'!J122</f>
        <v>0</v>
      </c>
    </row>
    <row r="288" customFormat="false" ht="15.75" hidden="false" customHeight="false" outlineLevel="0" collapsed="false">
      <c r="A288" s="128" t="n">
        <f aca="false">'🤖 Command R+'!$A$122</f>
        <v>0</v>
      </c>
      <c r="B288" s="4" t="s">
        <v>21</v>
      </c>
      <c r="C288" s="129" t="str">
        <f aca="false">'🤖 Command R+'!C123</f>
        <v>CoT</v>
      </c>
      <c r="D288" s="167" t="n">
        <f aca="false">'🤖 Command R+'!E123</f>
        <v>0.001901140684</v>
      </c>
      <c r="E288" s="129" t="n">
        <f aca="false">'🤖 Command R+'!F123</f>
        <v>0</v>
      </c>
      <c r="F288" s="129" t="n">
        <f aca="false">'🤖 Command R+'!G123</f>
        <v>0</v>
      </c>
      <c r="G288" s="129" t="n">
        <f aca="false">'🤖 Command R+'!H123</f>
        <v>0</v>
      </c>
      <c r="H288" s="129" t="n">
        <f aca="false">'🤖 Command R+'!I123</f>
        <v>0</v>
      </c>
      <c r="I288" s="129" t="n">
        <f aca="false">'🤖 Command R+'!J123</f>
        <v>0</v>
      </c>
    </row>
    <row r="289" customFormat="false" ht="15.75" hidden="false" customHeight="false" outlineLevel="0" collapsed="false">
      <c r="A289" s="128" t="n">
        <f aca="false">'🤖 Command R+'!$A$122</f>
        <v>0</v>
      </c>
      <c r="B289" s="4" t="s">
        <v>21</v>
      </c>
      <c r="C289" s="129" t="str">
        <f aca="false">'🤖 Command R+'!C124</f>
        <v>5W1H</v>
      </c>
      <c r="D289" s="167" t="n">
        <f aca="false">'🤖 Command R+'!E124</f>
        <v>0.001901140684</v>
      </c>
      <c r="E289" s="129" t="n">
        <f aca="false">'🤖 Command R+'!F124</f>
        <v>0</v>
      </c>
      <c r="F289" s="129" t="n">
        <f aca="false">'🤖 Command R+'!G124</f>
        <v>0</v>
      </c>
      <c r="G289" s="129" t="n">
        <f aca="false">'🤖 Command R+'!H124</f>
        <v>0</v>
      </c>
      <c r="H289" s="129" t="n">
        <f aca="false">'🤖 Command R+'!I124</f>
        <v>0</v>
      </c>
      <c r="I289" s="129" t="n">
        <f aca="false">'🤖 Command R+'!J124</f>
        <v>0</v>
      </c>
    </row>
    <row r="290" customFormat="false" ht="15.75" hidden="false" customHeight="false" outlineLevel="0" collapsed="false">
      <c r="A290" s="128" t="n">
        <f aca="false">'🤖 Command R+'!$A$122</f>
        <v>0</v>
      </c>
      <c r="B290" s="4" t="s">
        <v>21</v>
      </c>
      <c r="C290" s="129" t="str">
        <f aca="false">'🤖 Command R+'!C125</f>
        <v>tldr</v>
      </c>
      <c r="D290" s="167" t="n">
        <f aca="false">'🤖 Command R+'!E125</f>
        <v>0.001901140684</v>
      </c>
      <c r="E290" s="129" t="n">
        <f aca="false">'🤖 Command R+'!F125</f>
        <v>0</v>
      </c>
      <c r="F290" s="129" t="n">
        <f aca="false">'🤖 Command R+'!G125</f>
        <v>0</v>
      </c>
      <c r="G290" s="129" t="n">
        <f aca="false">'🤖 Command R+'!H125</f>
        <v>0</v>
      </c>
      <c r="H290" s="129" t="n">
        <f aca="false">'🤖 Command R+'!I125</f>
        <v>0</v>
      </c>
      <c r="I290" s="129" t="n">
        <f aca="false">'🤖 Command R+'!J125</f>
        <v>0</v>
      </c>
    </row>
    <row r="291" customFormat="false" ht="15.75" hidden="false" customHeight="false" outlineLevel="0" collapsed="false">
      <c r="A291" s="128"/>
      <c r="B291" s="4"/>
      <c r="C291" s="6"/>
      <c r="D291" s="167"/>
      <c r="E291" s="6"/>
      <c r="F291" s="6"/>
      <c r="G291" s="6"/>
      <c r="H291" s="6"/>
      <c r="I291" s="6"/>
    </row>
    <row r="292" customFormat="false" ht="15.75" hidden="false" customHeight="false" outlineLevel="0" collapsed="false">
      <c r="A292" s="128" t="n">
        <f aca="false">'🤖 Command R+'!$A$127</f>
        <v>0</v>
      </c>
      <c r="B292" s="4" t="s">
        <v>21</v>
      </c>
      <c r="C292" s="129" t="str">
        <f aca="false">'🤖 Command R+'!C127</f>
        <v>Base</v>
      </c>
      <c r="D292" s="167" t="n">
        <f aca="false">'🤖 Command R+'!E127</f>
        <v>0.001901140684</v>
      </c>
      <c r="E292" s="129" t="n">
        <f aca="false">'🤖 Command R+'!F127</f>
        <v>0</v>
      </c>
      <c r="F292" s="129" t="n">
        <f aca="false">'🤖 Command R+'!G127</f>
        <v>0</v>
      </c>
      <c r="G292" s="129" t="n">
        <f aca="false">'🤖 Command R+'!H127</f>
        <v>0</v>
      </c>
      <c r="H292" s="129" t="n">
        <f aca="false">'🤖 Command R+'!I127</f>
        <v>0</v>
      </c>
      <c r="I292" s="129" t="n">
        <f aca="false">'🤖 Command R+'!J127</f>
        <v>0</v>
      </c>
    </row>
    <row r="293" customFormat="false" ht="15.75" hidden="false" customHeight="false" outlineLevel="0" collapsed="false">
      <c r="A293" s="128" t="n">
        <f aca="false">'🤖 Command R+'!$A$127</f>
        <v>0</v>
      </c>
      <c r="B293" s="4" t="s">
        <v>21</v>
      </c>
      <c r="C293" s="129" t="str">
        <f aca="false">'🤖 Command R+'!C128</f>
        <v>CoT</v>
      </c>
      <c r="D293" s="167" t="n">
        <f aca="false">'🤖 Command R+'!E128</f>
        <v>0.001901140684</v>
      </c>
      <c r="E293" s="129" t="n">
        <f aca="false">'🤖 Command R+'!F128</f>
        <v>0</v>
      </c>
      <c r="F293" s="129" t="n">
        <f aca="false">'🤖 Command R+'!G128</f>
        <v>0</v>
      </c>
      <c r="G293" s="129" t="n">
        <f aca="false">'🤖 Command R+'!H128</f>
        <v>0</v>
      </c>
      <c r="H293" s="129" t="n">
        <f aca="false">'🤖 Command R+'!I128</f>
        <v>0</v>
      </c>
      <c r="I293" s="129" t="n">
        <f aca="false">'🤖 Command R+'!J128</f>
        <v>0</v>
      </c>
    </row>
    <row r="294" customFormat="false" ht="15.75" hidden="false" customHeight="false" outlineLevel="0" collapsed="false">
      <c r="A294" s="128" t="n">
        <f aca="false">'🤖 Command R+'!$A$127</f>
        <v>0</v>
      </c>
      <c r="B294" s="4" t="s">
        <v>21</v>
      </c>
      <c r="C294" s="129" t="str">
        <f aca="false">'🤖 Command R+'!C129</f>
        <v>5W1H</v>
      </c>
      <c r="D294" s="167" t="n">
        <f aca="false">'🤖 Command R+'!E129</f>
        <v>0.001901140684</v>
      </c>
      <c r="E294" s="129" t="n">
        <f aca="false">'🤖 Command R+'!F129</f>
        <v>0</v>
      </c>
      <c r="F294" s="129" t="n">
        <f aca="false">'🤖 Command R+'!G129</f>
        <v>0</v>
      </c>
      <c r="G294" s="129" t="n">
        <f aca="false">'🤖 Command R+'!H129</f>
        <v>0</v>
      </c>
      <c r="H294" s="129" t="n">
        <f aca="false">'🤖 Command R+'!I129</f>
        <v>0</v>
      </c>
      <c r="I294" s="129" t="n">
        <f aca="false">'🤖 Command R+'!J129</f>
        <v>0</v>
      </c>
    </row>
    <row r="295" customFormat="false" ht="15.75" hidden="false" customHeight="false" outlineLevel="0" collapsed="false">
      <c r="A295" s="128" t="n">
        <f aca="false">'🤖 Command R+'!$A$127</f>
        <v>0</v>
      </c>
      <c r="B295" s="4" t="s">
        <v>21</v>
      </c>
      <c r="C295" s="129" t="str">
        <f aca="false">'🤖 Command R+'!C130</f>
        <v>tldr</v>
      </c>
      <c r="D295" s="167" t="n">
        <f aca="false">'🤖 Command R+'!E130</f>
        <v>0.001901140684</v>
      </c>
      <c r="E295" s="129" t="n">
        <f aca="false">'🤖 Command R+'!F130</f>
        <v>0</v>
      </c>
      <c r="F295" s="129" t="n">
        <f aca="false">'🤖 Command R+'!G130</f>
        <v>0</v>
      </c>
      <c r="G295" s="129" t="n">
        <f aca="false">'🤖 Command R+'!H130</f>
        <v>0</v>
      </c>
      <c r="H295" s="129" t="n">
        <f aca="false">'🤖 Command R+'!I130</f>
        <v>0</v>
      </c>
      <c r="I295" s="129" t="n">
        <f aca="false">'🤖 Command R+'!J130</f>
        <v>0</v>
      </c>
    </row>
    <row r="296" customFormat="false" ht="15.75" hidden="false" customHeight="false" outlineLevel="0" collapsed="false">
      <c r="A296" s="128"/>
      <c r="B296" s="4"/>
      <c r="C296" s="6"/>
      <c r="D296" s="167"/>
      <c r="E296" s="6"/>
      <c r="F296" s="6"/>
      <c r="G296" s="6"/>
      <c r="H296" s="6"/>
      <c r="I296" s="6"/>
    </row>
    <row r="297" customFormat="false" ht="15.75" hidden="false" customHeight="false" outlineLevel="0" collapsed="false">
      <c r="A297" s="128" t="n">
        <f aca="false">'🤖 Command R+'!$A$132</f>
        <v>0</v>
      </c>
      <c r="B297" s="4" t="s">
        <v>21</v>
      </c>
      <c r="C297" s="129" t="str">
        <f aca="false">'🤖 Command R+'!C132</f>
        <v>Base</v>
      </c>
      <c r="D297" s="167" t="n">
        <f aca="false">'🤖 Command R+'!E132</f>
        <v>0.001901140684</v>
      </c>
      <c r="E297" s="129" t="n">
        <f aca="false">'🤖 Command R+'!F132</f>
        <v>0</v>
      </c>
      <c r="F297" s="129" t="n">
        <f aca="false">'🤖 Command R+'!G132</f>
        <v>0</v>
      </c>
      <c r="G297" s="129" t="n">
        <f aca="false">'🤖 Command R+'!H132</f>
        <v>0</v>
      </c>
      <c r="H297" s="129" t="n">
        <f aca="false">'🤖 Command R+'!I132</f>
        <v>0</v>
      </c>
      <c r="I297" s="129" t="n">
        <f aca="false">'🤖 Command R+'!J132</f>
        <v>0</v>
      </c>
    </row>
    <row r="298" customFormat="false" ht="15.75" hidden="false" customHeight="false" outlineLevel="0" collapsed="false">
      <c r="A298" s="128" t="n">
        <f aca="false">'🤖 Command R+'!$A$132</f>
        <v>0</v>
      </c>
      <c r="B298" s="4" t="s">
        <v>21</v>
      </c>
      <c r="C298" s="129" t="str">
        <f aca="false">'🤖 Command R+'!C133</f>
        <v>CoT</v>
      </c>
      <c r="D298" s="167" t="n">
        <f aca="false">'🤖 Command R+'!E133</f>
        <v>0.001901140684</v>
      </c>
      <c r="E298" s="129" t="n">
        <f aca="false">'🤖 Command R+'!F133</f>
        <v>0</v>
      </c>
      <c r="F298" s="129" t="n">
        <f aca="false">'🤖 Command R+'!G133</f>
        <v>0</v>
      </c>
      <c r="G298" s="129" t="n">
        <f aca="false">'🤖 Command R+'!H133</f>
        <v>0</v>
      </c>
      <c r="H298" s="129" t="n">
        <f aca="false">'🤖 Command R+'!I133</f>
        <v>0</v>
      </c>
      <c r="I298" s="129" t="n">
        <f aca="false">'🤖 Command R+'!J133</f>
        <v>0</v>
      </c>
    </row>
    <row r="299" customFormat="false" ht="15.75" hidden="false" customHeight="false" outlineLevel="0" collapsed="false">
      <c r="A299" s="128" t="n">
        <f aca="false">'🤖 Command R+'!$A$132</f>
        <v>0</v>
      </c>
      <c r="B299" s="4" t="s">
        <v>21</v>
      </c>
      <c r="C299" s="129" t="str">
        <f aca="false">'🤖 Command R+'!C134</f>
        <v>5W1H</v>
      </c>
      <c r="D299" s="167" t="n">
        <f aca="false">'🤖 Command R+'!E134</f>
        <v>0.001901140684</v>
      </c>
      <c r="E299" s="129" t="n">
        <f aca="false">'🤖 Command R+'!F134</f>
        <v>0</v>
      </c>
      <c r="F299" s="129" t="n">
        <f aca="false">'🤖 Command R+'!G134</f>
        <v>0</v>
      </c>
      <c r="G299" s="129" t="n">
        <f aca="false">'🤖 Command R+'!H134</f>
        <v>0</v>
      </c>
      <c r="H299" s="129" t="n">
        <f aca="false">'🤖 Command R+'!I134</f>
        <v>0</v>
      </c>
      <c r="I299" s="129" t="n">
        <f aca="false">'🤖 Command R+'!J134</f>
        <v>0</v>
      </c>
    </row>
    <row r="300" customFormat="false" ht="15.75" hidden="false" customHeight="false" outlineLevel="0" collapsed="false">
      <c r="A300" s="128" t="n">
        <f aca="false">'🤖 Command R+'!$A$132</f>
        <v>0</v>
      </c>
      <c r="B300" s="4" t="s">
        <v>21</v>
      </c>
      <c r="C300" s="129" t="str">
        <f aca="false">'🤖 Command R+'!C135</f>
        <v>tldr</v>
      </c>
      <c r="D300" s="167" t="n">
        <f aca="false">'🤖 Command R+'!E135</f>
        <v>0.001901140684</v>
      </c>
      <c r="E300" s="129" t="n">
        <f aca="false">'🤖 Command R+'!F135</f>
        <v>0</v>
      </c>
      <c r="F300" s="129" t="n">
        <f aca="false">'🤖 Command R+'!G135</f>
        <v>0</v>
      </c>
      <c r="G300" s="129" t="n">
        <f aca="false">'🤖 Command R+'!H135</f>
        <v>0</v>
      </c>
      <c r="H300" s="129" t="n">
        <f aca="false">'🤖 Command R+'!I135</f>
        <v>0</v>
      </c>
      <c r="I300" s="129" t="n">
        <f aca="false">'🤖 Command R+'!J135</f>
        <v>0</v>
      </c>
    </row>
    <row r="301" customFormat="false" ht="15.75" hidden="false" customHeight="false" outlineLevel="0" collapsed="false">
      <c r="A301" s="128"/>
      <c r="B301" s="4"/>
      <c r="C301" s="6"/>
      <c r="D301" s="167"/>
      <c r="E301" s="6"/>
      <c r="F301" s="6"/>
      <c r="G301" s="6"/>
      <c r="H301" s="6"/>
      <c r="I301" s="6"/>
    </row>
    <row r="302" customFormat="false" ht="15.75" hidden="false" customHeight="false" outlineLevel="0" collapsed="false">
      <c r="A302" s="128" t="n">
        <f aca="false">'🤖 Command R+'!$A$137</f>
        <v>0</v>
      </c>
      <c r="B302" s="4" t="s">
        <v>21</v>
      </c>
      <c r="C302" s="129" t="str">
        <f aca="false">'🤖 Command R+'!C137</f>
        <v>Base</v>
      </c>
      <c r="D302" s="167" t="n">
        <f aca="false">'🤖 Command R+'!E137</f>
        <v>0.001901140684</v>
      </c>
      <c r="E302" s="129" t="n">
        <f aca="false">'🤖 Command R+'!F137</f>
        <v>0</v>
      </c>
      <c r="F302" s="129" t="n">
        <f aca="false">'🤖 Command R+'!G137</f>
        <v>0</v>
      </c>
      <c r="G302" s="129" t="n">
        <f aca="false">'🤖 Command R+'!H137</f>
        <v>0</v>
      </c>
      <c r="H302" s="129" t="n">
        <f aca="false">'🤖 Command R+'!I137</f>
        <v>0</v>
      </c>
      <c r="I302" s="129" t="n">
        <f aca="false">'🤖 Command R+'!J137</f>
        <v>0</v>
      </c>
    </row>
    <row r="303" customFormat="false" ht="15.75" hidden="false" customHeight="false" outlineLevel="0" collapsed="false">
      <c r="A303" s="128" t="n">
        <f aca="false">'🤖 Command R+'!$A$137</f>
        <v>0</v>
      </c>
      <c r="B303" s="4" t="s">
        <v>21</v>
      </c>
      <c r="C303" s="129" t="str">
        <f aca="false">'🤖 Command R+'!C138</f>
        <v>CoT</v>
      </c>
      <c r="D303" s="167" t="n">
        <f aca="false">'🤖 Command R+'!E138</f>
        <v>0.001901140684</v>
      </c>
      <c r="E303" s="129" t="n">
        <f aca="false">'🤖 Command R+'!F138</f>
        <v>0</v>
      </c>
      <c r="F303" s="129" t="n">
        <f aca="false">'🤖 Command R+'!G138</f>
        <v>0</v>
      </c>
      <c r="G303" s="129" t="n">
        <f aca="false">'🤖 Command R+'!H138</f>
        <v>0</v>
      </c>
      <c r="H303" s="129" t="n">
        <f aca="false">'🤖 Command R+'!I138</f>
        <v>0</v>
      </c>
      <c r="I303" s="129" t="n">
        <f aca="false">'🤖 Command R+'!J138</f>
        <v>0</v>
      </c>
    </row>
    <row r="304" customFormat="false" ht="15.75" hidden="false" customHeight="false" outlineLevel="0" collapsed="false">
      <c r="A304" s="128" t="n">
        <f aca="false">'🤖 Command R+'!$A$137</f>
        <v>0</v>
      </c>
      <c r="B304" s="4" t="s">
        <v>21</v>
      </c>
      <c r="C304" s="129" t="str">
        <f aca="false">'🤖 Command R+'!C139</f>
        <v>5W1H</v>
      </c>
      <c r="D304" s="167" t="n">
        <f aca="false">'🤖 Command R+'!E139</f>
        <v>0.001901140684</v>
      </c>
      <c r="E304" s="129" t="n">
        <f aca="false">'🤖 Command R+'!F139</f>
        <v>0</v>
      </c>
      <c r="F304" s="129" t="n">
        <f aca="false">'🤖 Command R+'!G139</f>
        <v>0</v>
      </c>
      <c r="G304" s="129" t="n">
        <f aca="false">'🤖 Command R+'!H139</f>
        <v>0</v>
      </c>
      <c r="H304" s="129" t="n">
        <f aca="false">'🤖 Command R+'!I139</f>
        <v>0</v>
      </c>
      <c r="I304" s="129" t="n">
        <f aca="false">'🤖 Command R+'!J139</f>
        <v>0</v>
      </c>
    </row>
    <row r="305" customFormat="false" ht="15.75" hidden="false" customHeight="false" outlineLevel="0" collapsed="false">
      <c r="A305" s="128" t="n">
        <f aca="false">'🤖 Command R+'!$A$137</f>
        <v>0</v>
      </c>
      <c r="B305" s="4" t="s">
        <v>21</v>
      </c>
      <c r="C305" s="129" t="str">
        <f aca="false">'🤖 Command R+'!C140</f>
        <v>tldr</v>
      </c>
      <c r="D305" s="167" t="n">
        <f aca="false">'🤖 Command R+'!E140</f>
        <v>0.001901140684</v>
      </c>
      <c r="E305" s="129" t="n">
        <f aca="false">'🤖 Command R+'!F140</f>
        <v>0</v>
      </c>
      <c r="F305" s="129" t="n">
        <f aca="false">'🤖 Command R+'!G140</f>
        <v>0</v>
      </c>
      <c r="G305" s="129" t="n">
        <f aca="false">'🤖 Command R+'!H140</f>
        <v>0</v>
      </c>
      <c r="H305" s="129" t="n">
        <f aca="false">'🤖 Command R+'!I140</f>
        <v>0</v>
      </c>
      <c r="I305" s="129" t="n">
        <f aca="false">'🤖 Command R+'!J140</f>
        <v>0</v>
      </c>
    </row>
    <row r="306" customFormat="false" ht="15.75" hidden="false" customHeight="false" outlineLevel="0" collapsed="false">
      <c r="A306" s="128"/>
      <c r="B306" s="4"/>
      <c r="C306" s="6"/>
      <c r="D306" s="167"/>
      <c r="E306" s="6"/>
      <c r="F306" s="6"/>
      <c r="G306" s="6"/>
      <c r="H306" s="6"/>
      <c r="I306" s="6"/>
    </row>
    <row r="307" customFormat="false" ht="15.75" hidden="false" customHeight="false" outlineLevel="0" collapsed="false">
      <c r="A307" s="128" t="n">
        <f aca="false">'🤖 Command R+'!$A$142</f>
        <v>0</v>
      </c>
      <c r="B307" s="4" t="s">
        <v>21</v>
      </c>
      <c r="C307" s="129" t="str">
        <f aca="false">'🤖 Command R+'!C142</f>
        <v>Base</v>
      </c>
      <c r="D307" s="167" t="n">
        <f aca="false">'🤖 Command R+'!E142</f>
        <v>0.001901140684</v>
      </c>
      <c r="E307" s="129" t="n">
        <f aca="false">'🤖 Command R+'!F142</f>
        <v>0</v>
      </c>
      <c r="F307" s="129" t="n">
        <f aca="false">'🤖 Command R+'!G142</f>
        <v>0</v>
      </c>
      <c r="G307" s="129" t="n">
        <f aca="false">'🤖 Command R+'!H142</f>
        <v>0</v>
      </c>
      <c r="H307" s="129" t="n">
        <f aca="false">'🤖 Command R+'!I142</f>
        <v>0</v>
      </c>
      <c r="I307" s="129" t="n">
        <f aca="false">'🤖 Command R+'!J142</f>
        <v>0</v>
      </c>
    </row>
    <row r="308" customFormat="false" ht="15.75" hidden="false" customHeight="false" outlineLevel="0" collapsed="false">
      <c r="A308" s="128" t="n">
        <f aca="false">'🤖 Command R+'!$A$142</f>
        <v>0</v>
      </c>
      <c r="B308" s="4" t="s">
        <v>21</v>
      </c>
      <c r="C308" s="129" t="str">
        <f aca="false">'🤖 Command R+'!C143</f>
        <v>CoT</v>
      </c>
      <c r="D308" s="167" t="n">
        <f aca="false">'🤖 Command R+'!E143</f>
        <v>0.001901140684</v>
      </c>
      <c r="E308" s="129" t="n">
        <f aca="false">'🤖 Command R+'!F143</f>
        <v>0</v>
      </c>
      <c r="F308" s="129" t="n">
        <f aca="false">'🤖 Command R+'!G143</f>
        <v>0</v>
      </c>
      <c r="G308" s="129" t="n">
        <f aca="false">'🤖 Command R+'!H143</f>
        <v>0</v>
      </c>
      <c r="H308" s="129" t="n">
        <f aca="false">'🤖 Command R+'!I143</f>
        <v>0</v>
      </c>
      <c r="I308" s="129" t="n">
        <f aca="false">'🤖 Command R+'!J143</f>
        <v>0</v>
      </c>
    </row>
    <row r="309" customFormat="false" ht="15.75" hidden="false" customHeight="false" outlineLevel="0" collapsed="false">
      <c r="A309" s="128" t="n">
        <f aca="false">'🤖 Command R+'!$A$142</f>
        <v>0</v>
      </c>
      <c r="B309" s="4" t="s">
        <v>21</v>
      </c>
      <c r="C309" s="129" t="str">
        <f aca="false">'🤖 Command R+'!C144</f>
        <v>5W1H</v>
      </c>
      <c r="D309" s="167" t="n">
        <f aca="false">'🤖 Command R+'!E144</f>
        <v>0.001901140684</v>
      </c>
      <c r="E309" s="129" t="n">
        <f aca="false">'🤖 Command R+'!F144</f>
        <v>0</v>
      </c>
      <c r="F309" s="129" t="n">
        <f aca="false">'🤖 Command R+'!G144</f>
        <v>0</v>
      </c>
      <c r="G309" s="129" t="n">
        <f aca="false">'🤖 Command R+'!H144</f>
        <v>0</v>
      </c>
      <c r="H309" s="129" t="n">
        <f aca="false">'🤖 Command R+'!I144</f>
        <v>0</v>
      </c>
      <c r="I309" s="129" t="n">
        <f aca="false">'🤖 Command R+'!J144</f>
        <v>0</v>
      </c>
    </row>
    <row r="310" customFormat="false" ht="15.75" hidden="false" customHeight="false" outlineLevel="0" collapsed="false">
      <c r="A310" s="128" t="n">
        <f aca="false">'🤖 Command R+'!$A$142</f>
        <v>0</v>
      </c>
      <c r="B310" s="4" t="s">
        <v>21</v>
      </c>
      <c r="C310" s="129" t="str">
        <f aca="false">'🤖 Command R+'!C145</f>
        <v>tldr</v>
      </c>
      <c r="D310" s="167" t="n">
        <f aca="false">'🤖 Command R+'!E145</f>
        <v>0.001901140684</v>
      </c>
      <c r="E310" s="129" t="n">
        <f aca="false">'🤖 Command R+'!F145</f>
        <v>0</v>
      </c>
      <c r="F310" s="129" t="n">
        <f aca="false">'🤖 Command R+'!G145</f>
        <v>0</v>
      </c>
      <c r="G310" s="129" t="n">
        <f aca="false">'🤖 Command R+'!H145</f>
        <v>0</v>
      </c>
      <c r="H310" s="129" t="n">
        <f aca="false">'🤖 Command R+'!I145</f>
        <v>0</v>
      </c>
      <c r="I310" s="129" t="n">
        <f aca="false">'🤖 Command R+'!J145</f>
        <v>0</v>
      </c>
    </row>
    <row r="311" customFormat="false" ht="15.75" hidden="false" customHeight="false" outlineLevel="0" collapsed="false">
      <c r="A311" s="128"/>
      <c r="B311" s="4"/>
      <c r="C311" s="6"/>
      <c r="D311" s="167"/>
      <c r="E311" s="6"/>
      <c r="F311" s="6"/>
      <c r="G311" s="6"/>
      <c r="H311" s="6"/>
      <c r="I311" s="6"/>
    </row>
    <row r="312" customFormat="false" ht="15.75" hidden="false" customHeight="false" outlineLevel="0" collapsed="false">
      <c r="A312" s="128" t="n">
        <f aca="false">'🤖 Command R+'!$A$147</f>
        <v>0</v>
      </c>
      <c r="B312" s="4" t="s">
        <v>21</v>
      </c>
      <c r="C312" s="129" t="str">
        <f aca="false">'🤖 Command R+'!C147</f>
        <v>Base</v>
      </c>
      <c r="D312" s="167" t="n">
        <f aca="false">'🤖 Command R+'!E147</f>
        <v>0.001901140684</v>
      </c>
      <c r="E312" s="129" t="n">
        <f aca="false">'🤖 Command R+'!F147</f>
        <v>0</v>
      </c>
      <c r="F312" s="129" t="n">
        <f aca="false">'🤖 Command R+'!G147</f>
        <v>0</v>
      </c>
      <c r="G312" s="129" t="n">
        <f aca="false">'🤖 Command R+'!H147</f>
        <v>0</v>
      </c>
      <c r="H312" s="129" t="n">
        <f aca="false">'🤖 Command R+'!I147</f>
        <v>0</v>
      </c>
      <c r="I312" s="129" t="n">
        <f aca="false">'🤖 Command R+'!J147</f>
        <v>0</v>
      </c>
    </row>
    <row r="313" customFormat="false" ht="15.75" hidden="false" customHeight="false" outlineLevel="0" collapsed="false">
      <c r="A313" s="128" t="n">
        <f aca="false">'🤖 Command R+'!$A$147</f>
        <v>0</v>
      </c>
      <c r="B313" s="4" t="s">
        <v>21</v>
      </c>
      <c r="C313" s="129" t="str">
        <f aca="false">'🤖 Command R+'!C148</f>
        <v>CoT</v>
      </c>
      <c r="D313" s="167" t="n">
        <f aca="false">'🤖 Command R+'!E148</f>
        <v>0.001901140684</v>
      </c>
      <c r="E313" s="129" t="n">
        <f aca="false">'🤖 Command R+'!F148</f>
        <v>0</v>
      </c>
      <c r="F313" s="129" t="n">
        <f aca="false">'🤖 Command R+'!G148</f>
        <v>0</v>
      </c>
      <c r="G313" s="129" t="n">
        <f aca="false">'🤖 Command R+'!H148</f>
        <v>0</v>
      </c>
      <c r="H313" s="129" t="n">
        <f aca="false">'🤖 Command R+'!I148</f>
        <v>0</v>
      </c>
      <c r="I313" s="129" t="n">
        <f aca="false">'🤖 Command R+'!J148</f>
        <v>0</v>
      </c>
    </row>
    <row r="314" customFormat="false" ht="15.75" hidden="false" customHeight="false" outlineLevel="0" collapsed="false">
      <c r="A314" s="128" t="n">
        <f aca="false">'🤖 Command R+'!$A$147</f>
        <v>0</v>
      </c>
      <c r="B314" s="4" t="s">
        <v>21</v>
      </c>
      <c r="C314" s="129" t="str">
        <f aca="false">'🤖 Command R+'!C149</f>
        <v>5W1H</v>
      </c>
      <c r="D314" s="167" t="n">
        <f aca="false">'🤖 Command R+'!E149</f>
        <v>0.001901140684</v>
      </c>
      <c r="E314" s="129" t="n">
        <f aca="false">'🤖 Command R+'!F149</f>
        <v>0</v>
      </c>
      <c r="F314" s="129" t="n">
        <f aca="false">'🤖 Command R+'!G149</f>
        <v>0</v>
      </c>
      <c r="G314" s="129" t="n">
        <f aca="false">'🤖 Command R+'!H149</f>
        <v>0</v>
      </c>
      <c r="H314" s="129" t="n">
        <f aca="false">'🤖 Command R+'!I149</f>
        <v>0</v>
      </c>
      <c r="I314" s="129" t="n">
        <f aca="false">'🤖 Command R+'!J149</f>
        <v>0</v>
      </c>
    </row>
    <row r="315" customFormat="false" ht="15.75" hidden="false" customHeight="false" outlineLevel="0" collapsed="false">
      <c r="A315" s="128" t="n">
        <f aca="false">'🤖 Command R+'!$A$147</f>
        <v>0</v>
      </c>
      <c r="B315" s="4" t="s">
        <v>21</v>
      </c>
      <c r="C315" s="129" t="str">
        <f aca="false">'🤖 Command R+'!C150</f>
        <v>tldr</v>
      </c>
      <c r="D315" s="167" t="n">
        <f aca="false">'🤖 Command R+'!E150</f>
        <v>0.001901140684</v>
      </c>
      <c r="E315" s="129" t="n">
        <f aca="false">'🤖 Command R+'!F150</f>
        <v>0</v>
      </c>
      <c r="F315" s="129" t="n">
        <f aca="false">'🤖 Command R+'!G150</f>
        <v>0</v>
      </c>
      <c r="G315" s="129" t="n">
        <f aca="false">'🤖 Command R+'!H150</f>
        <v>0</v>
      </c>
      <c r="H315" s="129" t="n">
        <f aca="false">'🤖 Command R+'!I150</f>
        <v>0</v>
      </c>
      <c r="I315" s="129" t="n">
        <f aca="false">'🤖 Command R+'!J150</f>
        <v>0</v>
      </c>
    </row>
    <row r="316" customFormat="false" ht="15.75" hidden="false" customHeight="false" outlineLevel="0" collapsed="false">
      <c r="A316" s="128"/>
      <c r="B316" s="4"/>
      <c r="C316" s="6"/>
      <c r="D316" s="167"/>
      <c r="E316" s="6"/>
      <c r="F316" s="6"/>
      <c r="G316" s="6"/>
      <c r="H316" s="6"/>
      <c r="I316" s="6"/>
    </row>
    <row r="317" customFormat="false" ht="15.75" hidden="false" customHeight="false" outlineLevel="0" collapsed="false">
      <c r="A317" s="128" t="n">
        <f aca="false">'🤖 Command R+'!$A$152</f>
        <v>0</v>
      </c>
      <c r="B317" s="4" t="s">
        <v>21</v>
      </c>
      <c r="C317" s="129" t="str">
        <f aca="false">'🤖 Command R+'!C152</f>
        <v>Base</v>
      </c>
      <c r="D317" s="167" t="n">
        <f aca="false">'🤖 Command R+'!E152</f>
        <v>0.001901140684</v>
      </c>
      <c r="E317" s="129" t="n">
        <f aca="false">'🤖 Command R+'!F152</f>
        <v>0</v>
      </c>
      <c r="F317" s="129" t="n">
        <f aca="false">'🤖 Command R+'!G152</f>
        <v>0</v>
      </c>
      <c r="G317" s="129" t="n">
        <f aca="false">'🤖 Command R+'!H152</f>
        <v>0</v>
      </c>
      <c r="H317" s="129" t="n">
        <f aca="false">'🤖 Command R+'!I152</f>
        <v>0</v>
      </c>
      <c r="I317" s="129" t="n">
        <f aca="false">'🤖 Command R+'!J152</f>
        <v>0</v>
      </c>
    </row>
    <row r="318" customFormat="false" ht="15.75" hidden="false" customHeight="false" outlineLevel="0" collapsed="false">
      <c r="A318" s="128" t="n">
        <f aca="false">'🤖 Command R+'!$A$152</f>
        <v>0</v>
      </c>
      <c r="B318" s="4" t="s">
        <v>21</v>
      </c>
      <c r="C318" s="129" t="str">
        <f aca="false">'🤖 Command R+'!C153</f>
        <v>CoT</v>
      </c>
      <c r="D318" s="167" t="n">
        <f aca="false">'🤖 Command R+'!E153</f>
        <v>0.001901140684</v>
      </c>
      <c r="E318" s="129" t="n">
        <f aca="false">'🤖 Command R+'!F153</f>
        <v>0</v>
      </c>
      <c r="F318" s="129" t="n">
        <f aca="false">'🤖 Command R+'!G153</f>
        <v>0</v>
      </c>
      <c r="G318" s="129" t="n">
        <f aca="false">'🤖 Command R+'!H153</f>
        <v>0</v>
      </c>
      <c r="H318" s="129" t="n">
        <f aca="false">'🤖 Command R+'!I153</f>
        <v>0</v>
      </c>
      <c r="I318" s="129" t="n">
        <f aca="false">'🤖 Command R+'!J153</f>
        <v>0</v>
      </c>
    </row>
    <row r="319" customFormat="false" ht="15.75" hidden="false" customHeight="false" outlineLevel="0" collapsed="false">
      <c r="A319" s="128" t="n">
        <f aca="false">'🤖 Command R+'!$A$152</f>
        <v>0</v>
      </c>
      <c r="B319" s="4" t="s">
        <v>21</v>
      </c>
      <c r="C319" s="129" t="str">
        <f aca="false">'🤖 Command R+'!C154</f>
        <v>5W1H</v>
      </c>
      <c r="D319" s="167" t="n">
        <f aca="false">'🤖 Command R+'!E154</f>
        <v>0.001901140684</v>
      </c>
      <c r="E319" s="129" t="n">
        <f aca="false">'🤖 Command R+'!F154</f>
        <v>0</v>
      </c>
      <c r="F319" s="129" t="n">
        <f aca="false">'🤖 Command R+'!G154</f>
        <v>0</v>
      </c>
      <c r="G319" s="129" t="n">
        <f aca="false">'🤖 Command R+'!H154</f>
        <v>0</v>
      </c>
      <c r="H319" s="129" t="n">
        <f aca="false">'🤖 Command R+'!I154</f>
        <v>0</v>
      </c>
      <c r="I319" s="129" t="n">
        <f aca="false">'🤖 Command R+'!J154</f>
        <v>0</v>
      </c>
    </row>
    <row r="320" customFormat="false" ht="15.75" hidden="false" customHeight="false" outlineLevel="0" collapsed="false">
      <c r="A320" s="128" t="n">
        <f aca="false">'🤖 Command R+'!$A$152</f>
        <v>0</v>
      </c>
      <c r="B320" s="4" t="s">
        <v>21</v>
      </c>
      <c r="C320" s="129" t="str">
        <f aca="false">'🤖 Command R+'!C155</f>
        <v>tldr</v>
      </c>
      <c r="D320" s="167" t="n">
        <f aca="false">'🤖 Command R+'!E155</f>
        <v>0.001901140684</v>
      </c>
      <c r="E320" s="129" t="n">
        <f aca="false">'🤖 Command R+'!F155</f>
        <v>0</v>
      </c>
      <c r="F320" s="129" t="n">
        <f aca="false">'🤖 Command R+'!G155</f>
        <v>0</v>
      </c>
      <c r="G320" s="129" t="n">
        <f aca="false">'🤖 Command R+'!H155</f>
        <v>0</v>
      </c>
      <c r="H320" s="129" t="n">
        <f aca="false">'🤖 Command R+'!I155</f>
        <v>0</v>
      </c>
      <c r="I320" s="129" t="n">
        <f aca="false">'🤖 Command R+'!J155</f>
        <v>0</v>
      </c>
    </row>
    <row r="321" customFormat="false" ht="15.75" hidden="false" customHeight="false" outlineLevel="0" collapsed="false">
      <c r="A321" s="128"/>
      <c r="B321" s="4"/>
      <c r="C321" s="6"/>
      <c r="D321" s="167"/>
      <c r="E321" s="6"/>
      <c r="F321" s="6"/>
      <c r="G321" s="6"/>
      <c r="H321" s="6"/>
      <c r="I321" s="6"/>
    </row>
    <row r="322" customFormat="false" ht="15.75" hidden="false" customHeight="false" outlineLevel="0" collapsed="false">
      <c r="A322" s="128" t="n">
        <f aca="false">'🤖 Command R+'!$A$157</f>
        <v>0</v>
      </c>
      <c r="B322" s="4" t="s">
        <v>21</v>
      </c>
      <c r="C322" s="129" t="str">
        <f aca="false">'🤖 Command R+'!C157</f>
        <v>Base</v>
      </c>
      <c r="D322" s="167" t="n">
        <f aca="false">'🤖 Command R+'!E157</f>
        <v>0.001901140684</v>
      </c>
      <c r="E322" s="129" t="n">
        <f aca="false">'🤖 Command R+'!F157</f>
        <v>0</v>
      </c>
      <c r="F322" s="129" t="n">
        <f aca="false">'🤖 Command R+'!G157</f>
        <v>0</v>
      </c>
      <c r="G322" s="129" t="n">
        <f aca="false">'🤖 Command R+'!H157</f>
        <v>0</v>
      </c>
      <c r="H322" s="129" t="n">
        <f aca="false">'🤖 Command R+'!I157</f>
        <v>0</v>
      </c>
      <c r="I322" s="129" t="n">
        <f aca="false">'🤖 Command R+'!J157</f>
        <v>0</v>
      </c>
    </row>
    <row r="323" customFormat="false" ht="15.75" hidden="false" customHeight="false" outlineLevel="0" collapsed="false">
      <c r="A323" s="128" t="n">
        <f aca="false">'🤖 Command R+'!$A$157</f>
        <v>0</v>
      </c>
      <c r="B323" s="4" t="s">
        <v>21</v>
      </c>
      <c r="C323" s="129" t="str">
        <f aca="false">'🤖 Command R+'!C158</f>
        <v>CoT</v>
      </c>
      <c r="D323" s="167" t="n">
        <f aca="false">'🤖 Command R+'!E158</f>
        <v>0.001901140684</v>
      </c>
      <c r="E323" s="129" t="n">
        <f aca="false">'🤖 Command R+'!F158</f>
        <v>0</v>
      </c>
      <c r="F323" s="129" t="n">
        <f aca="false">'🤖 Command R+'!G158</f>
        <v>0</v>
      </c>
      <c r="G323" s="129" t="n">
        <f aca="false">'🤖 Command R+'!H158</f>
        <v>0</v>
      </c>
      <c r="H323" s="129" t="n">
        <f aca="false">'🤖 Command R+'!I158</f>
        <v>0</v>
      </c>
      <c r="I323" s="129" t="n">
        <f aca="false">'🤖 Command R+'!J158</f>
        <v>0</v>
      </c>
    </row>
    <row r="324" customFormat="false" ht="15.75" hidden="false" customHeight="false" outlineLevel="0" collapsed="false">
      <c r="A324" s="128" t="n">
        <f aca="false">'🤖 Command R+'!$A$157</f>
        <v>0</v>
      </c>
      <c r="B324" s="4" t="s">
        <v>21</v>
      </c>
      <c r="C324" s="129" t="str">
        <f aca="false">'🤖 Command R+'!C159</f>
        <v>5W1H</v>
      </c>
      <c r="D324" s="167" t="n">
        <f aca="false">'🤖 Command R+'!E159</f>
        <v>0.001901140684</v>
      </c>
      <c r="E324" s="129" t="n">
        <f aca="false">'🤖 Command R+'!F159</f>
        <v>0</v>
      </c>
      <c r="F324" s="129" t="n">
        <f aca="false">'🤖 Command R+'!G159</f>
        <v>0</v>
      </c>
      <c r="G324" s="129" t="n">
        <f aca="false">'🤖 Command R+'!H159</f>
        <v>0</v>
      </c>
      <c r="H324" s="129" t="n">
        <f aca="false">'🤖 Command R+'!I159</f>
        <v>0</v>
      </c>
      <c r="I324" s="129" t="n">
        <f aca="false">'🤖 Command R+'!J159</f>
        <v>0</v>
      </c>
    </row>
    <row r="325" customFormat="false" ht="15.75" hidden="false" customHeight="false" outlineLevel="0" collapsed="false">
      <c r="A325" s="128" t="n">
        <f aca="false">'🤖 Command R+'!$A$157</f>
        <v>0</v>
      </c>
      <c r="B325" s="4" t="s">
        <v>21</v>
      </c>
      <c r="C325" s="129" t="str">
        <f aca="false">'🤖 Command R+'!C160</f>
        <v>tldr</v>
      </c>
      <c r="D325" s="167" t="n">
        <f aca="false">'🤖 Command R+'!E160</f>
        <v>0.001901140684</v>
      </c>
      <c r="E325" s="129" t="n">
        <f aca="false">'🤖 Command R+'!F160</f>
        <v>0</v>
      </c>
      <c r="F325" s="129" t="n">
        <f aca="false">'🤖 Command R+'!G160</f>
        <v>0</v>
      </c>
      <c r="G325" s="129" t="n">
        <f aca="false">'🤖 Command R+'!H160</f>
        <v>0</v>
      </c>
      <c r="H325" s="129" t="n">
        <f aca="false">'🤖 Command R+'!I160</f>
        <v>0</v>
      </c>
      <c r="I325" s="129" t="n">
        <f aca="false">'🤖 Command R+'!J160</f>
        <v>0</v>
      </c>
    </row>
    <row r="326" customFormat="false" ht="15.75" hidden="false" customHeight="false" outlineLevel="0" collapsed="false">
      <c r="A326" s="128"/>
      <c r="B326" s="4"/>
      <c r="C326" s="6"/>
      <c r="D326" s="167"/>
      <c r="E326" s="6"/>
      <c r="F326" s="6"/>
      <c r="G326" s="6"/>
      <c r="H326" s="6"/>
      <c r="I326" s="6"/>
    </row>
    <row r="327" customFormat="false" ht="15.75" hidden="false" customHeight="false" outlineLevel="0" collapsed="false">
      <c r="A327" s="128" t="n">
        <f aca="false">'🤖 Command R+'!$A$162</f>
        <v>0</v>
      </c>
      <c r="B327" s="4" t="s">
        <v>21</v>
      </c>
      <c r="C327" s="129" t="str">
        <f aca="false">'🤖 Command R+'!C162</f>
        <v>Base</v>
      </c>
      <c r="D327" s="167" t="n">
        <f aca="false">'🤖 Command R+'!E162</f>
        <v>0.001901140684</v>
      </c>
      <c r="E327" s="129" t="n">
        <f aca="false">'🤖 Command R+'!F162</f>
        <v>0</v>
      </c>
      <c r="F327" s="129" t="n">
        <f aca="false">'🤖 Command R+'!G162</f>
        <v>0</v>
      </c>
      <c r="G327" s="129" t="n">
        <f aca="false">'🤖 Command R+'!H162</f>
        <v>0</v>
      </c>
      <c r="H327" s="129" t="n">
        <f aca="false">'🤖 Command R+'!I162</f>
        <v>0</v>
      </c>
      <c r="I327" s="129" t="n">
        <f aca="false">'🤖 Command R+'!J162</f>
        <v>0</v>
      </c>
    </row>
    <row r="328" customFormat="false" ht="15.75" hidden="false" customHeight="false" outlineLevel="0" collapsed="false">
      <c r="A328" s="128" t="n">
        <f aca="false">'🤖 Command R+'!$A$162</f>
        <v>0</v>
      </c>
      <c r="B328" s="4" t="s">
        <v>21</v>
      </c>
      <c r="C328" s="129" t="str">
        <f aca="false">'🤖 Command R+'!C163</f>
        <v>CoT</v>
      </c>
      <c r="D328" s="167" t="n">
        <f aca="false">'🤖 Command R+'!E163</f>
        <v>0.001901140684</v>
      </c>
      <c r="E328" s="129" t="n">
        <f aca="false">'🤖 Command R+'!F163</f>
        <v>0</v>
      </c>
      <c r="F328" s="129" t="n">
        <f aca="false">'🤖 Command R+'!G163</f>
        <v>0</v>
      </c>
      <c r="G328" s="129" t="n">
        <f aca="false">'🤖 Command R+'!H163</f>
        <v>0</v>
      </c>
      <c r="H328" s="129" t="n">
        <f aca="false">'🤖 Command R+'!I163</f>
        <v>0</v>
      </c>
      <c r="I328" s="129" t="n">
        <f aca="false">'🤖 Command R+'!J163</f>
        <v>0</v>
      </c>
    </row>
    <row r="329" customFormat="false" ht="15.75" hidden="false" customHeight="false" outlineLevel="0" collapsed="false">
      <c r="A329" s="128" t="n">
        <f aca="false">'🤖 Command R+'!$A$162</f>
        <v>0</v>
      </c>
      <c r="B329" s="4" t="s">
        <v>21</v>
      </c>
      <c r="C329" s="129" t="str">
        <f aca="false">'🤖 Command R+'!C164</f>
        <v>5W1H</v>
      </c>
      <c r="D329" s="167" t="n">
        <f aca="false">'🤖 Command R+'!E164</f>
        <v>0.001901140684</v>
      </c>
      <c r="E329" s="129" t="n">
        <f aca="false">'🤖 Command R+'!F164</f>
        <v>0</v>
      </c>
      <c r="F329" s="129" t="n">
        <f aca="false">'🤖 Command R+'!G164</f>
        <v>0</v>
      </c>
      <c r="G329" s="129" t="n">
        <f aca="false">'🤖 Command R+'!H164</f>
        <v>0</v>
      </c>
      <c r="H329" s="129" t="n">
        <f aca="false">'🤖 Command R+'!I164</f>
        <v>0</v>
      </c>
      <c r="I329" s="129" t="n">
        <f aca="false">'🤖 Command R+'!J164</f>
        <v>0</v>
      </c>
    </row>
    <row r="330" customFormat="false" ht="15.75" hidden="false" customHeight="false" outlineLevel="0" collapsed="false">
      <c r="A330" s="128" t="n">
        <f aca="false">'🤖 Command R+'!$A$162</f>
        <v>0</v>
      </c>
      <c r="B330" s="4" t="s">
        <v>21</v>
      </c>
      <c r="C330" s="129" t="str">
        <f aca="false">'🤖 Command R+'!C165</f>
        <v>tldr</v>
      </c>
      <c r="D330" s="167" t="n">
        <f aca="false">'🤖 Command R+'!E165</f>
        <v>0.001901140684</v>
      </c>
      <c r="E330" s="129" t="n">
        <f aca="false">'🤖 Command R+'!F165</f>
        <v>0</v>
      </c>
      <c r="F330" s="129" t="n">
        <f aca="false">'🤖 Command R+'!G165</f>
        <v>0</v>
      </c>
      <c r="G330" s="129" t="n">
        <f aca="false">'🤖 Command R+'!H165</f>
        <v>0</v>
      </c>
      <c r="H330" s="129" t="n">
        <f aca="false">'🤖 Command R+'!I165</f>
        <v>0</v>
      </c>
      <c r="I330" s="129" t="n">
        <f aca="false">'🤖 Command R+'!J165</f>
        <v>0</v>
      </c>
    </row>
    <row r="331" customFormat="false" ht="15.75" hidden="false" customHeight="false" outlineLevel="0" collapsed="false">
      <c r="A331" s="9"/>
      <c r="B331" s="9"/>
      <c r="C331" s="51"/>
      <c r="D331" s="9"/>
      <c r="E331" s="51"/>
      <c r="F331" s="51"/>
      <c r="G331" s="51"/>
      <c r="H331" s="51"/>
      <c r="I331" s="51"/>
    </row>
    <row r="332" customFormat="false" ht="15.75" hidden="false" customHeight="false" outlineLevel="0" collapsed="false">
      <c r="A332" s="128" t="str">
        <f aca="false">'🤖 GPT 4o'!$A$2</f>
        <v>https://www.berria.eus/kirola/hau-badakit-egunen-batean-aterako-da-barruan-dudan-jokoa_2123931_102.html</v>
      </c>
      <c r="B332" s="4" t="s">
        <v>22</v>
      </c>
      <c r="C332" s="129" t="str">
        <f aca="false">'🤖 GPT 4o'!C2</f>
        <v>Base</v>
      </c>
      <c r="D332" s="150" t="n">
        <f aca="false">'🤖 GPT 4o'!E2</f>
        <v>0.1813784764</v>
      </c>
      <c r="E332" s="129" t="n">
        <f aca="false">'🤖 GPT 4o'!F2</f>
        <v>5</v>
      </c>
      <c r="F332" s="129" t="n">
        <f aca="false">'🤖 GPT 4o'!G2</f>
        <v>5</v>
      </c>
      <c r="G332" s="129" t="n">
        <f aca="false">'🤖 GPT 4o'!H2</f>
        <v>5</v>
      </c>
      <c r="H332" s="129" t="n">
        <f aca="false">'🤖 GPT 4o'!I2</f>
        <v>4</v>
      </c>
      <c r="I332" s="129" t="n">
        <f aca="false">'🤖 GPT 4o'!J2</f>
        <v>5</v>
      </c>
      <c r="J332" s="9" t="n">
        <f aca="false">VLOOKUP(B332,__lookup__!A:B,2,FALSE())</f>
        <v>3</v>
      </c>
      <c r="K332" s="9" t="n">
        <f aca="false">VLOOKUP(C332,__lookup__!A:B,2,FALSE())</f>
        <v>10</v>
      </c>
    </row>
    <row r="333" customFormat="false" ht="15.75" hidden="false" customHeight="false" outlineLevel="0" collapsed="false">
      <c r="A333" s="128" t="str">
        <f aca="false">'🤖 GPT 4o'!$A$2</f>
        <v>https://www.berria.eus/kirola/hau-badakit-egunen-batean-aterako-da-barruan-dudan-jokoa_2123931_102.html</v>
      </c>
      <c r="B333" s="4" t="s">
        <v>22</v>
      </c>
      <c r="C333" s="129" t="str">
        <f aca="false">'🤖 GPT 4o'!C3</f>
        <v>CoT</v>
      </c>
      <c r="D333" s="136" t="n">
        <f aca="false">'🤖 GPT 4o'!E3</f>
        <v>0.1197097944</v>
      </c>
      <c r="E333" s="129" t="n">
        <f aca="false">'🤖 GPT 4o'!F3</f>
        <v>5</v>
      </c>
      <c r="F333" s="129" t="n">
        <f aca="false">'🤖 GPT 4o'!G3</f>
        <v>4</v>
      </c>
      <c r="G333" s="129" t="n">
        <f aca="false">'🤖 GPT 4o'!H3</f>
        <v>5</v>
      </c>
      <c r="H333" s="129" t="n">
        <f aca="false">'🤖 GPT 4o'!I3</f>
        <v>4</v>
      </c>
      <c r="I333" s="129" t="n">
        <f aca="false">'🤖 GPT 4o'!J3</f>
        <v>4</v>
      </c>
    </row>
    <row r="334" customFormat="false" ht="15.75" hidden="false" customHeight="false" outlineLevel="0" collapsed="false">
      <c r="A334" s="128" t="str">
        <f aca="false">'🤖 GPT 4o'!$A$2</f>
        <v>https://www.berria.eus/kirola/hau-badakit-egunen-batean-aterako-da-barruan-dudan-jokoa_2123931_102.html</v>
      </c>
      <c r="B334" s="4" t="s">
        <v>22</v>
      </c>
      <c r="C334" s="129" t="str">
        <f aca="false">'🤖 GPT 4o'!C4</f>
        <v>5W1H</v>
      </c>
      <c r="D334" s="168" t="n">
        <f aca="false">'🤖 GPT 4o'!E4</f>
        <v>0.2623941959</v>
      </c>
      <c r="E334" s="129" t="n">
        <f aca="false">'🤖 GPT 4o'!F4</f>
        <v>3</v>
      </c>
      <c r="F334" s="129" t="n">
        <f aca="false">'🤖 GPT 4o'!G4</f>
        <v>4</v>
      </c>
      <c r="G334" s="129" t="n">
        <f aca="false">'🤖 GPT 4o'!H4</f>
        <v>5</v>
      </c>
      <c r="H334" s="129" t="n">
        <f aca="false">'🤖 GPT 4o'!I4</f>
        <v>4</v>
      </c>
      <c r="I334" s="129" t="n">
        <f aca="false">'🤖 GPT 4o'!J4</f>
        <v>5</v>
      </c>
    </row>
    <row r="335" customFormat="false" ht="15.75" hidden="false" customHeight="false" outlineLevel="0" collapsed="false">
      <c r="A335" s="128" t="str">
        <f aca="false">'🤖 GPT 4o'!$A$2</f>
        <v>https://www.berria.eus/kirola/hau-badakit-egunen-batean-aterako-da-barruan-dudan-jokoa_2123931_102.html</v>
      </c>
      <c r="B335" s="4" t="s">
        <v>22</v>
      </c>
      <c r="C335" s="129" t="str">
        <f aca="false">'🤖 GPT 4o'!C5</f>
        <v>tldr</v>
      </c>
      <c r="D335" s="158" t="n">
        <f aca="false">'🤖 GPT 4o'!E5</f>
        <v>0.1269649335</v>
      </c>
      <c r="E335" s="129" t="n">
        <f aca="false">'🤖 GPT 4o'!F5</f>
        <v>5</v>
      </c>
      <c r="F335" s="129" t="n">
        <f aca="false">'🤖 GPT 4o'!G5</f>
        <v>4</v>
      </c>
      <c r="G335" s="129" t="n">
        <f aca="false">'🤖 GPT 4o'!H5</f>
        <v>5</v>
      </c>
      <c r="H335" s="129" t="n">
        <f aca="false">'🤖 GPT 4o'!I5</f>
        <v>5</v>
      </c>
      <c r="I335" s="129" t="n">
        <f aca="false">'🤖 GPT 4o'!J5</f>
        <v>5</v>
      </c>
    </row>
    <row r="336" customFormat="false" ht="15.75" hidden="false" customHeight="false" outlineLevel="0" collapsed="false">
      <c r="A336" s="9"/>
      <c r="B336" s="9"/>
      <c r="C336" s="51"/>
      <c r="D336" s="9"/>
      <c r="E336" s="51"/>
      <c r="F336" s="51"/>
      <c r="G336" s="51"/>
      <c r="H336" s="51"/>
      <c r="I336" s="51"/>
    </row>
    <row r="337" customFormat="false" ht="15.75" hidden="false" customHeight="false" outlineLevel="0" collapsed="false">
      <c r="A337" s="128" t="str">
        <f aca="false">'🤖 GPT 4o'!$A$7</f>
        <v>https://www.berria.eus/ekonomia/kutxabankek-2116-euro-bideratu-zituen-karbono-gutxiko-proiektuak-finantzatzera_2120192_102.html</v>
      </c>
      <c r="B337" s="4" t="s">
        <v>22</v>
      </c>
      <c r="C337" s="129" t="str">
        <f aca="false">'🤖 GPT 4o'!C7</f>
        <v>Base</v>
      </c>
      <c r="D337" s="149" t="n">
        <f aca="false">'🤖 GPT 4o'!E7</f>
        <v>1.307086614</v>
      </c>
      <c r="E337" s="129" t="n">
        <f aca="false">'🤖 GPT 4o'!F7</f>
        <v>5</v>
      </c>
      <c r="F337" s="129" t="n">
        <f aca="false">'🤖 GPT 4o'!G7</f>
        <v>5</v>
      </c>
      <c r="G337" s="129" t="n">
        <f aca="false">'🤖 GPT 4o'!H7</f>
        <v>5</v>
      </c>
      <c r="H337" s="129" t="n">
        <f aca="false">'🤖 GPT 4o'!I7</f>
        <v>1</v>
      </c>
      <c r="I337" s="129" t="n">
        <f aca="false">'🤖 GPT 4o'!J7</f>
        <v>5</v>
      </c>
    </row>
    <row r="338" customFormat="false" ht="15.75" hidden="false" customHeight="false" outlineLevel="0" collapsed="false">
      <c r="A338" s="128" t="str">
        <f aca="false">'🤖 GPT 4o'!$A$7</f>
        <v>https://www.berria.eus/ekonomia/kutxabankek-2116-euro-bideratu-zituen-karbono-gutxiko-proiektuak-finantzatzera_2120192_102.html</v>
      </c>
      <c r="B338" s="4" t="s">
        <v>22</v>
      </c>
      <c r="C338" s="129" t="str">
        <f aca="false">'🤖 GPT 4o'!C8</f>
        <v>CoT</v>
      </c>
      <c r="D338" s="158" t="n">
        <f aca="false">'🤖 GPT 4o'!E8</f>
        <v>0.5118110236</v>
      </c>
      <c r="E338" s="129" t="n">
        <f aca="false">'🤖 GPT 4o'!F8</f>
        <v>5</v>
      </c>
      <c r="F338" s="129" t="n">
        <f aca="false">'🤖 GPT 4o'!G8</f>
        <v>4</v>
      </c>
      <c r="G338" s="129" t="n">
        <f aca="false">'🤖 GPT 4o'!H8</f>
        <v>5</v>
      </c>
      <c r="H338" s="129" t="n">
        <f aca="false">'🤖 GPT 4o'!I8</f>
        <v>4</v>
      </c>
      <c r="I338" s="129" t="n">
        <f aca="false">'🤖 GPT 4o'!J8</f>
        <v>5</v>
      </c>
    </row>
    <row r="339" customFormat="false" ht="15.75" hidden="false" customHeight="false" outlineLevel="0" collapsed="false">
      <c r="A339" s="128" t="str">
        <f aca="false">'🤖 GPT 4o'!$A$7</f>
        <v>https://www.berria.eus/ekonomia/kutxabankek-2116-euro-bideratu-zituen-karbono-gutxiko-proiektuak-finantzatzera_2120192_102.html</v>
      </c>
      <c r="B339" s="4" t="s">
        <v>22</v>
      </c>
      <c r="C339" s="129" t="str">
        <f aca="false">'🤖 GPT 4o'!C9</f>
        <v>5W1H</v>
      </c>
      <c r="D339" s="168" t="n">
        <f aca="false">'🤖 GPT 4o'!E9</f>
        <v>0.9133858268</v>
      </c>
      <c r="E339" s="129" t="n">
        <f aca="false">'🤖 GPT 4o'!F9</f>
        <v>3</v>
      </c>
      <c r="F339" s="129" t="n">
        <f aca="false">'🤖 GPT 4o'!G9</f>
        <v>5</v>
      </c>
      <c r="G339" s="129" t="n">
        <f aca="false">'🤖 GPT 4o'!H9</f>
        <v>5</v>
      </c>
      <c r="H339" s="129" t="n">
        <f aca="false">'🤖 GPT 4o'!I9</f>
        <v>3</v>
      </c>
      <c r="I339" s="129" t="n">
        <f aca="false">'🤖 GPT 4o'!J9</f>
        <v>5</v>
      </c>
    </row>
    <row r="340" customFormat="false" ht="15.75" hidden="false" customHeight="false" outlineLevel="0" collapsed="false">
      <c r="A340" s="128" t="str">
        <f aca="false">'🤖 GPT 4o'!$A$7</f>
        <v>https://www.berria.eus/ekonomia/kutxabankek-2116-euro-bideratu-zituen-karbono-gutxiko-proiektuak-finantzatzera_2120192_102.html</v>
      </c>
      <c r="B340" s="4" t="s">
        <v>22</v>
      </c>
      <c r="C340" s="129" t="str">
        <f aca="false">'🤖 GPT 4o'!C10</f>
        <v>tldr</v>
      </c>
      <c r="D340" s="157" t="n">
        <f aca="false">'🤖 GPT 4o'!E10</f>
        <v>0.4881889764</v>
      </c>
      <c r="E340" s="129" t="n">
        <f aca="false">'🤖 GPT 4o'!F10</f>
        <v>5</v>
      </c>
      <c r="F340" s="129" t="n">
        <f aca="false">'🤖 GPT 4o'!G10</f>
        <v>5</v>
      </c>
      <c r="G340" s="129" t="n">
        <f aca="false">'🤖 GPT 4o'!H10</f>
        <v>5</v>
      </c>
      <c r="H340" s="129" t="n">
        <f aca="false">'🤖 GPT 4o'!I10</f>
        <v>4</v>
      </c>
      <c r="I340" s="129" t="n">
        <f aca="false">'🤖 GPT 4o'!J10</f>
        <v>5</v>
      </c>
    </row>
    <row r="341" customFormat="false" ht="15.75" hidden="false" customHeight="false" outlineLevel="0" collapsed="false">
      <c r="A341" s="9"/>
      <c r="B341" s="9"/>
      <c r="C341" s="51"/>
      <c r="D341" s="9"/>
      <c r="E341" s="51"/>
      <c r="F341" s="51"/>
      <c r="G341" s="51"/>
      <c r="H341" s="51"/>
      <c r="I341" s="51"/>
    </row>
    <row r="342" customFormat="false" ht="15.75" hidden="false" customHeight="false" outlineLevel="0" collapsed="false">
      <c r="A342" s="128" t="str">
        <f aca="false">'🤖 GPT 4o'!$A$12</f>
        <v>https://www.berria.eus/bizigiro/tradizioa-eta-abangoardia_2126379_102.html</v>
      </c>
      <c r="B342" s="4" t="s">
        <v>22</v>
      </c>
      <c r="C342" s="129" t="str">
        <f aca="false">'🤖 GPT 4o'!C12</f>
        <v>Base</v>
      </c>
      <c r="D342" s="153" t="n">
        <f aca="false">'🤖 GPT 4o'!E12</f>
        <v>0.9710526316</v>
      </c>
      <c r="E342" s="129" t="n">
        <f aca="false">'🤖 GPT 4o'!F12</f>
        <v>5</v>
      </c>
      <c r="F342" s="129" t="n">
        <f aca="false">'🤖 GPT 4o'!G12</f>
        <v>5</v>
      </c>
      <c r="G342" s="129" t="n">
        <f aca="false">'🤖 GPT 4o'!H12</f>
        <v>5</v>
      </c>
      <c r="H342" s="129" t="n">
        <f aca="false">'🤖 GPT 4o'!I12</f>
        <v>1</v>
      </c>
      <c r="I342" s="129" t="n">
        <f aca="false">'🤖 GPT 4o'!J12</f>
        <v>5</v>
      </c>
    </row>
    <row r="343" customFormat="false" ht="15.75" hidden="false" customHeight="false" outlineLevel="0" collapsed="false">
      <c r="A343" s="128" t="str">
        <f aca="false">'🤖 GPT 4o'!$A$12</f>
        <v>https://www.berria.eus/bizigiro/tradizioa-eta-abangoardia_2126379_102.html</v>
      </c>
      <c r="B343" s="4" t="s">
        <v>22</v>
      </c>
      <c r="C343" s="129" t="str">
        <f aca="false">'🤖 GPT 4o'!C13</f>
        <v>CoT</v>
      </c>
      <c r="D343" s="139" t="n">
        <f aca="false">'🤖 GPT 4o'!E13</f>
        <v>0.1947368421</v>
      </c>
      <c r="E343" s="129" t="n">
        <f aca="false">'🤖 GPT 4o'!F13</f>
        <v>5</v>
      </c>
      <c r="F343" s="129" t="n">
        <f aca="false">'🤖 GPT 4o'!G13</f>
        <v>5</v>
      </c>
      <c r="G343" s="129" t="n">
        <f aca="false">'🤖 GPT 4o'!H13</f>
        <v>5</v>
      </c>
      <c r="H343" s="129" t="n">
        <f aca="false">'🤖 GPT 4o'!I13</f>
        <v>4</v>
      </c>
      <c r="I343" s="129" t="n">
        <f aca="false">'🤖 GPT 4o'!J13</f>
        <v>5</v>
      </c>
    </row>
    <row r="344" customFormat="false" ht="15.75" hidden="false" customHeight="false" outlineLevel="0" collapsed="false">
      <c r="A344" s="128" t="str">
        <f aca="false">'🤖 GPT 4o'!$A$12</f>
        <v>https://www.berria.eus/bizigiro/tradizioa-eta-abangoardia_2126379_102.html</v>
      </c>
      <c r="B344" s="4" t="s">
        <v>22</v>
      </c>
      <c r="C344" s="129" t="str">
        <f aca="false">'🤖 GPT 4o'!C14</f>
        <v>5W1H</v>
      </c>
      <c r="D344" s="138" t="n">
        <f aca="false">'🤖 GPT 4o'!E14</f>
        <v>0.4710526316</v>
      </c>
      <c r="E344" s="129" t="n">
        <f aca="false">'🤖 GPT 4o'!F14</f>
        <v>3</v>
      </c>
      <c r="F344" s="129" t="n">
        <f aca="false">'🤖 GPT 4o'!G14</f>
        <v>5</v>
      </c>
      <c r="G344" s="129" t="n">
        <f aca="false">'🤖 GPT 4o'!H14</f>
        <v>5</v>
      </c>
      <c r="H344" s="129" t="n">
        <f aca="false">'🤖 GPT 4o'!I14</f>
        <v>3</v>
      </c>
      <c r="I344" s="129" t="n">
        <f aca="false">'🤖 GPT 4o'!J14</f>
        <v>5</v>
      </c>
    </row>
    <row r="345" customFormat="false" ht="15.75" hidden="false" customHeight="false" outlineLevel="0" collapsed="false">
      <c r="A345" s="128" t="str">
        <f aca="false">'🤖 GPT 4o'!$A$12</f>
        <v>https://www.berria.eus/bizigiro/tradizioa-eta-abangoardia_2126379_102.html</v>
      </c>
      <c r="B345" s="4" t="s">
        <v>22</v>
      </c>
      <c r="C345" s="129" t="str">
        <f aca="false">'🤖 GPT 4o'!C15</f>
        <v>tldr</v>
      </c>
      <c r="D345" s="142" t="n">
        <f aca="false">'🤖 GPT 4o'!E15</f>
        <v>0.2078947368</v>
      </c>
      <c r="E345" s="129" t="n">
        <f aca="false">'🤖 GPT 4o'!F15</f>
        <v>4</v>
      </c>
      <c r="F345" s="129" t="n">
        <f aca="false">'🤖 GPT 4o'!G15</f>
        <v>5</v>
      </c>
      <c r="G345" s="129" t="n">
        <f aca="false">'🤖 GPT 4o'!H15</f>
        <v>4</v>
      </c>
      <c r="H345" s="129" t="n">
        <f aca="false">'🤖 GPT 4o'!I15</f>
        <v>4</v>
      </c>
      <c r="I345" s="129" t="n">
        <f aca="false">'🤖 GPT 4o'!J15</f>
        <v>5</v>
      </c>
    </row>
    <row r="346" customFormat="false" ht="15.75" hidden="false" customHeight="false" outlineLevel="0" collapsed="false">
      <c r="A346" s="9"/>
      <c r="B346" s="9"/>
      <c r="C346" s="51"/>
      <c r="D346" s="9"/>
      <c r="E346" s="51"/>
      <c r="F346" s="51"/>
      <c r="G346" s="51"/>
      <c r="H346" s="51"/>
      <c r="I346" s="51"/>
    </row>
    <row r="347" customFormat="false" ht="15.75" hidden="false" customHeight="false" outlineLevel="0" collapsed="false">
      <c r="A347" s="128" t="str">
        <f aca="false">'🤖 GPT 4o'!$A$17</f>
        <v>https://www.berria.eus/mundua/nbek-43-mila-milioi-euro-eskatu-ditu-datorren-urtean-laguntza-humanitarioa-bermatzeko_2117704_102.html</v>
      </c>
      <c r="B347" s="4" t="s">
        <v>22</v>
      </c>
      <c r="C347" s="129" t="str">
        <f aca="false">'🤖 GPT 4o'!C17</f>
        <v>Base</v>
      </c>
      <c r="D347" s="150" t="n">
        <f aca="false">'🤖 GPT 4o'!E17</f>
        <v>0.3164335664</v>
      </c>
      <c r="E347" s="129" t="n">
        <f aca="false">'🤖 GPT 4o'!F17</f>
        <v>5</v>
      </c>
      <c r="F347" s="129" t="n">
        <f aca="false">'🤖 GPT 4o'!G17</f>
        <v>5</v>
      </c>
      <c r="G347" s="129" t="n">
        <f aca="false">'🤖 GPT 4o'!H17</f>
        <v>5</v>
      </c>
      <c r="H347" s="129" t="n">
        <f aca="false">'🤖 GPT 4o'!I17</f>
        <v>3</v>
      </c>
      <c r="I347" s="129" t="n">
        <f aca="false">'🤖 GPT 4o'!J17</f>
        <v>5</v>
      </c>
    </row>
    <row r="348" customFormat="false" ht="15.75" hidden="false" customHeight="false" outlineLevel="0" collapsed="false">
      <c r="A348" s="128" t="str">
        <f aca="false">'🤖 GPT 4o'!$A$17</f>
        <v>https://www.berria.eus/mundua/nbek-43-mila-milioi-euro-eskatu-ditu-datorren-urtean-laguntza-humanitarioa-bermatzeko_2117704_102.html</v>
      </c>
      <c r="B348" s="4" t="s">
        <v>22</v>
      </c>
      <c r="C348" s="129" t="str">
        <f aca="false">'🤖 GPT 4o'!C18</f>
        <v>CoT</v>
      </c>
      <c r="D348" s="140" t="n">
        <f aca="false">'🤖 GPT 4o'!E18</f>
        <v>0.1783216783</v>
      </c>
      <c r="E348" s="129" t="n">
        <f aca="false">'🤖 GPT 4o'!F18</f>
        <v>5</v>
      </c>
      <c r="F348" s="129" t="n">
        <f aca="false">'🤖 GPT 4o'!G18</f>
        <v>4</v>
      </c>
      <c r="G348" s="129" t="n">
        <f aca="false">'🤖 GPT 4o'!H18</f>
        <v>5</v>
      </c>
      <c r="H348" s="129" t="n">
        <f aca="false">'🤖 GPT 4o'!I18</f>
        <v>4</v>
      </c>
      <c r="I348" s="129" t="n">
        <f aca="false">'🤖 GPT 4o'!J18</f>
        <v>5</v>
      </c>
    </row>
    <row r="349" customFormat="false" ht="15.75" hidden="false" customHeight="false" outlineLevel="0" collapsed="false">
      <c r="A349" s="128" t="str">
        <f aca="false">'🤖 GPT 4o'!$A$17</f>
        <v>https://www.berria.eus/mundua/nbek-43-mila-milioi-euro-eskatu-ditu-datorren-urtean-laguntza-humanitarioa-bermatzeko_2117704_102.html</v>
      </c>
      <c r="B349" s="4" t="s">
        <v>22</v>
      </c>
      <c r="C349" s="129" t="str">
        <f aca="false">'🤖 GPT 4o'!C19</f>
        <v>5W1H</v>
      </c>
      <c r="D349" s="168" t="n">
        <f aca="false">'🤖 GPT 4o'!E19</f>
        <v>0.3234265734</v>
      </c>
      <c r="E349" s="129" t="n">
        <f aca="false">'🤖 GPT 4o'!F19</f>
        <v>3</v>
      </c>
      <c r="F349" s="129" t="n">
        <f aca="false">'🤖 GPT 4o'!G19</f>
        <v>5</v>
      </c>
      <c r="G349" s="129" t="n">
        <f aca="false">'🤖 GPT 4o'!H19</f>
        <v>4</v>
      </c>
      <c r="H349" s="129" t="n">
        <f aca="false">'🤖 GPT 4o'!I19</f>
        <v>4</v>
      </c>
      <c r="I349" s="129" t="n">
        <f aca="false">'🤖 GPT 4o'!J19</f>
        <v>5</v>
      </c>
    </row>
    <row r="350" customFormat="false" ht="15.75" hidden="false" customHeight="false" outlineLevel="0" collapsed="false">
      <c r="A350" s="128" t="str">
        <f aca="false">'🤖 GPT 4o'!$A$17</f>
        <v>https://www.berria.eus/mundua/nbek-43-mila-milioi-euro-eskatu-ditu-datorren-urtean-laguntza-humanitarioa-bermatzeko_2117704_102.html</v>
      </c>
      <c r="B350" s="4" t="s">
        <v>22</v>
      </c>
      <c r="C350" s="129" t="str">
        <f aca="false">'🤖 GPT 4o'!C20</f>
        <v>tldr</v>
      </c>
      <c r="D350" s="157" t="n">
        <f aca="false">'🤖 GPT 4o'!E20</f>
        <v>0.1853146853</v>
      </c>
      <c r="E350" s="129" t="n">
        <f aca="false">'🤖 GPT 4o'!F20</f>
        <v>5</v>
      </c>
      <c r="F350" s="129" t="n">
        <f aca="false">'🤖 GPT 4o'!G20</f>
        <v>5</v>
      </c>
      <c r="G350" s="129" t="n">
        <f aca="false">'🤖 GPT 4o'!H20</f>
        <v>3</v>
      </c>
      <c r="H350" s="129" t="n">
        <f aca="false">'🤖 GPT 4o'!I20</f>
        <v>5</v>
      </c>
      <c r="I350" s="129" t="n">
        <f aca="false">'🤖 GPT 4o'!J20</f>
        <v>5</v>
      </c>
    </row>
    <row r="351" customFormat="false" ht="15.75" hidden="false" customHeight="false" outlineLevel="0" collapsed="false">
      <c r="A351" s="9"/>
      <c r="B351" s="9"/>
      <c r="C351" s="51"/>
      <c r="D351" s="9"/>
      <c r="E351" s="51"/>
      <c r="F351" s="51"/>
      <c r="G351" s="51"/>
      <c r="H351" s="51"/>
      <c r="I351" s="51"/>
    </row>
    <row r="352" customFormat="false" ht="15.75" hidden="false" customHeight="false" outlineLevel="0" collapsed="false">
      <c r="A352" s="128" t="str">
        <f aca="false">'🤖 GPT 4o'!$A$22</f>
        <v>https://www.berria.eus/kultura/umeak-amari-eman-dio-bidea_2124508_102.html</v>
      </c>
      <c r="B352" s="4" t="s">
        <v>22</v>
      </c>
      <c r="C352" s="129" t="str">
        <f aca="false">'🤖 GPT 4o'!C22</f>
        <v>Base</v>
      </c>
      <c r="D352" s="135" t="n">
        <f aca="false">'🤖 GPT 4o'!E22</f>
        <v>0.3136200717</v>
      </c>
      <c r="E352" s="129" t="n">
        <f aca="false">'🤖 GPT 4o'!F22</f>
        <v>5</v>
      </c>
      <c r="F352" s="129" t="n">
        <f aca="false">'🤖 GPT 4o'!G22</f>
        <v>3</v>
      </c>
      <c r="G352" s="129" t="n">
        <f aca="false">'🤖 GPT 4o'!H22</f>
        <v>5</v>
      </c>
      <c r="H352" s="129" t="n">
        <f aca="false">'🤖 GPT 4o'!I22</f>
        <v>3</v>
      </c>
      <c r="I352" s="129" t="n">
        <f aca="false">'🤖 GPT 4o'!J22</f>
        <v>5</v>
      </c>
    </row>
    <row r="353" customFormat="false" ht="15.75" hidden="false" customHeight="false" outlineLevel="0" collapsed="false">
      <c r="A353" s="128" t="str">
        <f aca="false">'🤖 GPT 4o'!$A$22</f>
        <v>https://www.berria.eus/kultura/umeak-amari-eman-dio-bidea_2124508_102.html</v>
      </c>
      <c r="B353" s="4" t="s">
        <v>22</v>
      </c>
      <c r="C353" s="129" t="str">
        <f aca="false">'🤖 GPT 4o'!C23</f>
        <v>CoT</v>
      </c>
      <c r="D353" s="153" t="n">
        <f aca="false">'🤖 GPT 4o'!E23</f>
        <v>0.1666666667</v>
      </c>
      <c r="E353" s="129" t="n">
        <f aca="false">'🤖 GPT 4o'!F23</f>
        <v>4</v>
      </c>
      <c r="F353" s="129" t="n">
        <f aca="false">'🤖 GPT 4o'!G23</f>
        <v>3</v>
      </c>
      <c r="G353" s="129" t="n">
        <f aca="false">'🤖 GPT 4o'!H23</f>
        <v>5</v>
      </c>
      <c r="H353" s="129" t="n">
        <f aca="false">'🤖 GPT 4o'!I23</f>
        <v>4</v>
      </c>
      <c r="I353" s="129" t="n">
        <f aca="false">'🤖 GPT 4o'!J23</f>
        <v>5</v>
      </c>
    </row>
    <row r="354" customFormat="false" ht="15.75" hidden="false" customHeight="false" outlineLevel="0" collapsed="false">
      <c r="A354" s="128" t="str">
        <f aca="false">'🤖 GPT 4o'!$A$22</f>
        <v>https://www.berria.eus/kultura/umeak-amari-eman-dio-bidea_2124508_102.html</v>
      </c>
      <c r="B354" s="4" t="s">
        <v>22</v>
      </c>
      <c r="C354" s="129" t="str">
        <f aca="false">'🤖 GPT 4o'!C24</f>
        <v>5W1H</v>
      </c>
      <c r="D354" s="136" t="n">
        <f aca="false">'🤖 GPT 4o'!E24</f>
        <v>0.3225806452</v>
      </c>
      <c r="E354" s="129" t="n">
        <f aca="false">'🤖 GPT 4o'!F24</f>
        <v>3</v>
      </c>
      <c r="F354" s="129" t="n">
        <f aca="false">'🤖 GPT 4o'!G24</f>
        <v>5</v>
      </c>
      <c r="G354" s="129" t="n">
        <f aca="false">'🤖 GPT 4o'!H24</f>
        <v>5</v>
      </c>
      <c r="H354" s="129" t="n">
        <f aca="false">'🤖 GPT 4o'!I24</f>
        <v>4</v>
      </c>
      <c r="I354" s="129" t="n">
        <f aca="false">'🤖 GPT 4o'!J24</f>
        <v>5</v>
      </c>
    </row>
    <row r="355" customFormat="false" ht="15.75" hidden="false" customHeight="false" outlineLevel="0" collapsed="false">
      <c r="A355" s="128" t="str">
        <f aca="false">'🤖 GPT 4o'!$A$22</f>
        <v>https://www.berria.eus/kultura/umeak-amari-eman-dio-bidea_2124508_102.html</v>
      </c>
      <c r="B355" s="4" t="s">
        <v>22</v>
      </c>
      <c r="C355" s="129" t="str">
        <f aca="false">'🤖 GPT 4o'!C25</f>
        <v>tldr</v>
      </c>
      <c r="D355" s="153" t="n">
        <f aca="false">'🤖 GPT 4o'!E25</f>
        <v>0.2168458781</v>
      </c>
      <c r="E355" s="129" t="n">
        <f aca="false">'🤖 GPT 4o'!F25</f>
        <v>4</v>
      </c>
      <c r="F355" s="129" t="n">
        <f aca="false">'🤖 GPT 4o'!G25</f>
        <v>2</v>
      </c>
      <c r="G355" s="129" t="n">
        <f aca="false">'🤖 GPT 4o'!H25</f>
        <v>5</v>
      </c>
      <c r="H355" s="129" t="n">
        <f aca="false">'🤖 GPT 4o'!I25</f>
        <v>5</v>
      </c>
      <c r="I355" s="129" t="n">
        <f aca="false">'🤖 GPT 4o'!J25</f>
        <v>5</v>
      </c>
    </row>
    <row r="356" customFormat="false" ht="15.75" hidden="false" customHeight="false" outlineLevel="0" collapsed="false">
      <c r="A356" s="9"/>
      <c r="B356" s="9"/>
      <c r="C356" s="51"/>
      <c r="D356" s="9"/>
      <c r="E356" s="51"/>
      <c r="F356" s="51"/>
      <c r="G356" s="51"/>
      <c r="H356" s="51"/>
      <c r="I356" s="51"/>
    </row>
    <row r="357" customFormat="false" ht="15.75" hidden="false" customHeight="false" outlineLevel="0" collapsed="false">
      <c r="A357" s="128" t="str">
        <f aca="false">'🤖 GPT 4o'!$A$27</f>
        <v>https://www.berria.eus/euskal-herria/pintaketa-faxistak-egin-dituzte-irunean_2124262_102.html</v>
      </c>
      <c r="B357" s="4" t="s">
        <v>22</v>
      </c>
      <c r="C357" s="129" t="str">
        <f aca="false">'🤖 GPT 4o'!C27</f>
        <v>Base</v>
      </c>
      <c r="D357" s="169" t="n">
        <f aca="false">'🤖 GPT 4o'!E27</f>
        <v>1.065693431</v>
      </c>
      <c r="E357" s="129" t="n">
        <f aca="false">'🤖 GPT 4o'!F27</f>
        <v>4</v>
      </c>
      <c r="F357" s="129" t="n">
        <f aca="false">'🤖 GPT 4o'!G27</f>
        <v>5</v>
      </c>
      <c r="G357" s="129" t="n">
        <f aca="false">'🤖 GPT 4o'!H27</f>
        <v>5</v>
      </c>
      <c r="H357" s="129" t="n">
        <f aca="false">'🤖 GPT 4o'!I27</f>
        <v>2</v>
      </c>
      <c r="I357" s="129" t="n">
        <f aca="false">'🤖 GPT 4o'!J27</f>
        <v>5</v>
      </c>
    </row>
    <row r="358" customFormat="false" ht="15.75" hidden="false" customHeight="false" outlineLevel="0" collapsed="false">
      <c r="A358" s="128" t="str">
        <f aca="false">'🤖 GPT 4o'!$A$27</f>
        <v>https://www.berria.eus/euskal-herria/pintaketa-faxistak-egin-dituzte-irunean_2124262_102.html</v>
      </c>
      <c r="B358" s="4" t="s">
        <v>22</v>
      </c>
      <c r="C358" s="129" t="str">
        <f aca="false">'🤖 GPT 4o'!C28</f>
        <v>CoT</v>
      </c>
      <c r="D358" s="166" t="n">
        <f aca="false">'🤖 GPT 4o'!E28</f>
        <v>0.3357664234</v>
      </c>
      <c r="E358" s="129" t="n">
        <f aca="false">'🤖 GPT 4o'!F28</f>
        <v>4</v>
      </c>
      <c r="F358" s="129" t="n">
        <f aca="false">'🤖 GPT 4o'!G28</f>
        <v>5</v>
      </c>
      <c r="G358" s="129" t="n">
        <f aca="false">'🤖 GPT 4o'!H28</f>
        <v>5</v>
      </c>
      <c r="H358" s="129" t="n">
        <f aca="false">'🤖 GPT 4o'!I28</f>
        <v>4</v>
      </c>
      <c r="I358" s="129" t="n">
        <f aca="false">'🤖 GPT 4o'!J28</f>
        <v>5</v>
      </c>
    </row>
    <row r="359" customFormat="false" ht="15.75" hidden="false" customHeight="false" outlineLevel="0" collapsed="false">
      <c r="A359" s="128" t="str">
        <f aca="false">'🤖 GPT 4o'!$A$27</f>
        <v>https://www.berria.eus/euskal-herria/pintaketa-faxistak-egin-dituzte-irunean_2124262_102.html</v>
      </c>
      <c r="B359" s="4" t="s">
        <v>22</v>
      </c>
      <c r="C359" s="129" t="str">
        <f aca="false">'🤖 GPT 4o'!C29</f>
        <v>5W1H</v>
      </c>
      <c r="D359" s="170" t="n">
        <f aca="false">'🤖 GPT 4o'!E29</f>
        <v>1.357664234</v>
      </c>
      <c r="E359" s="129" t="n">
        <f aca="false">'🤖 GPT 4o'!F29</f>
        <v>2</v>
      </c>
      <c r="F359" s="129" t="n">
        <f aca="false">'🤖 GPT 4o'!G29</f>
        <v>5</v>
      </c>
      <c r="G359" s="129" t="n">
        <f aca="false">'🤖 GPT 4o'!H29</f>
        <v>5</v>
      </c>
      <c r="H359" s="129" t="n">
        <f aca="false">'🤖 GPT 4o'!I29</f>
        <v>3</v>
      </c>
      <c r="I359" s="129" t="n">
        <f aca="false">'🤖 GPT 4o'!J29</f>
        <v>5</v>
      </c>
    </row>
    <row r="360" customFormat="false" ht="15.75" hidden="false" customHeight="false" outlineLevel="0" collapsed="false">
      <c r="A360" s="128" t="str">
        <f aca="false">'🤖 GPT 4o'!$A$27</f>
        <v>https://www.berria.eus/euskal-herria/pintaketa-faxistak-egin-dituzte-irunean_2124262_102.html</v>
      </c>
      <c r="B360" s="4" t="s">
        <v>22</v>
      </c>
      <c r="C360" s="129" t="str">
        <f aca="false">'🤖 GPT 4o'!C30</f>
        <v>tldr</v>
      </c>
      <c r="D360" s="130" t="n">
        <f aca="false">'🤖 GPT 4o'!E30</f>
        <v>0.3941605839</v>
      </c>
      <c r="E360" s="129" t="n">
        <f aca="false">'🤖 GPT 4o'!F30</f>
        <v>3</v>
      </c>
      <c r="F360" s="129" t="n">
        <f aca="false">'🤖 GPT 4o'!G30</f>
        <v>5</v>
      </c>
      <c r="G360" s="129" t="n">
        <f aca="false">'🤖 GPT 4o'!H30</f>
        <v>5</v>
      </c>
      <c r="H360" s="129" t="n">
        <f aca="false">'🤖 GPT 4o'!I30</f>
        <v>5</v>
      </c>
      <c r="I360" s="129" t="n">
        <f aca="false">'🤖 GPT 4o'!J30</f>
        <v>4</v>
      </c>
    </row>
    <row r="361" customFormat="false" ht="15.75" hidden="false" customHeight="false" outlineLevel="0" collapsed="false">
      <c r="A361" s="9"/>
      <c r="B361" s="9"/>
      <c r="C361" s="51"/>
      <c r="D361" s="9"/>
      <c r="E361" s="51"/>
      <c r="F361" s="51"/>
      <c r="G361" s="51"/>
      <c r="H361" s="51"/>
      <c r="I361" s="51"/>
    </row>
    <row r="362" customFormat="false" ht="15.75" hidden="false" customHeight="false" outlineLevel="0" collapsed="false">
      <c r="A362" s="128" t="str">
        <f aca="false">'🤖 GPT 4o'!$A$32</f>
        <v>https://www.berria.eus/ekonomia/eolikoen-arlorako-laguntzetan-orain-halako-bi-jarriko-du-ebk-1400-milioi_1343992_102.html</v>
      </c>
      <c r="B362" s="4" t="s">
        <v>22</v>
      </c>
      <c r="C362" s="129" t="str">
        <f aca="false">'🤖 GPT 4o'!C32</f>
        <v>Base</v>
      </c>
      <c r="D362" s="171" t="n">
        <f aca="false">'🤖 GPT 4o'!E32</f>
        <v>0.4379084967</v>
      </c>
      <c r="E362" s="129" t="n">
        <f aca="false">'🤖 GPT 4o'!F32</f>
        <v>4</v>
      </c>
      <c r="F362" s="129" t="n">
        <f aca="false">'🤖 GPT 4o'!G32</f>
        <v>5</v>
      </c>
      <c r="G362" s="129" t="n">
        <f aca="false">'🤖 GPT 4o'!H32</f>
        <v>4</v>
      </c>
      <c r="H362" s="129" t="n">
        <f aca="false">'🤖 GPT 4o'!I32</f>
        <v>3</v>
      </c>
      <c r="I362" s="129" t="n">
        <f aca="false">'🤖 GPT 4o'!J32</f>
        <v>4</v>
      </c>
    </row>
    <row r="363" customFormat="false" ht="15.75" hidden="false" customHeight="false" outlineLevel="0" collapsed="false">
      <c r="A363" s="128" t="str">
        <f aca="false">'🤖 GPT 4o'!$A$32</f>
        <v>https://www.berria.eus/ekonomia/eolikoen-arlorako-laguntzetan-orain-halako-bi-jarriko-du-ebk-1400-milioi_1343992_102.html</v>
      </c>
      <c r="B363" s="4" t="s">
        <v>22</v>
      </c>
      <c r="C363" s="129" t="str">
        <f aca="false">'🤖 GPT 4o'!C33</f>
        <v>CoT</v>
      </c>
      <c r="D363" s="172" t="n">
        <f aca="false">'🤖 GPT 4o'!E33</f>
        <v>0.165577342</v>
      </c>
      <c r="E363" s="129" t="n">
        <f aca="false">'🤖 GPT 4o'!F33</f>
        <v>4</v>
      </c>
      <c r="F363" s="129" t="n">
        <f aca="false">'🤖 GPT 4o'!G33</f>
        <v>5</v>
      </c>
      <c r="G363" s="129" t="n">
        <f aca="false">'🤖 GPT 4o'!H33</f>
        <v>4</v>
      </c>
      <c r="H363" s="129" t="n">
        <f aca="false">'🤖 GPT 4o'!I33</f>
        <v>4</v>
      </c>
      <c r="I363" s="129" t="n">
        <f aca="false">'🤖 GPT 4o'!J33</f>
        <v>3</v>
      </c>
    </row>
    <row r="364" customFormat="false" ht="15.75" hidden="false" customHeight="false" outlineLevel="0" collapsed="false">
      <c r="A364" s="128" t="str">
        <f aca="false">'🤖 GPT 4o'!$A$32</f>
        <v>https://www.berria.eus/ekonomia/eolikoen-arlorako-laguntzetan-orain-halako-bi-jarriko-du-ebk-1400-milioi_1343992_102.html</v>
      </c>
      <c r="B364" s="4" t="s">
        <v>22</v>
      </c>
      <c r="C364" s="129" t="str">
        <f aca="false">'🤖 GPT 4o'!C34</f>
        <v>5W1H</v>
      </c>
      <c r="D364" s="173" t="n">
        <f aca="false">'🤖 GPT 4o'!E34</f>
        <v>0.3594771242</v>
      </c>
      <c r="E364" s="129" t="n">
        <f aca="false">'🤖 GPT 4o'!F34</f>
        <v>3</v>
      </c>
      <c r="F364" s="129" t="n">
        <f aca="false">'🤖 GPT 4o'!G34</f>
        <v>4</v>
      </c>
      <c r="G364" s="129" t="n">
        <f aca="false">'🤖 GPT 4o'!H34</f>
        <v>4</v>
      </c>
      <c r="H364" s="129" t="n">
        <f aca="false">'🤖 GPT 4o'!I34</f>
        <v>3</v>
      </c>
      <c r="I364" s="129" t="n">
        <f aca="false">'🤖 GPT 4o'!J34</f>
        <v>4</v>
      </c>
    </row>
    <row r="365" customFormat="false" ht="15.75" hidden="false" customHeight="false" outlineLevel="0" collapsed="false">
      <c r="A365" s="128" t="str">
        <f aca="false">'🤖 GPT 4o'!$A$32</f>
        <v>https://www.berria.eus/ekonomia/eolikoen-arlorako-laguntzetan-orain-halako-bi-jarriko-du-ebk-1400-milioi_1343992_102.html</v>
      </c>
      <c r="B365" s="4" t="s">
        <v>22</v>
      </c>
      <c r="C365" s="129" t="str">
        <f aca="false">'🤖 GPT 4o'!C35</f>
        <v>tldr</v>
      </c>
      <c r="D365" s="164" t="n">
        <f aca="false">'🤖 GPT 4o'!E35</f>
        <v>0.1546840959</v>
      </c>
      <c r="E365" s="129" t="n">
        <f aca="false">'🤖 GPT 4o'!F35</f>
        <v>4</v>
      </c>
      <c r="F365" s="129" t="n">
        <f aca="false">'🤖 GPT 4o'!G35</f>
        <v>5</v>
      </c>
      <c r="G365" s="129" t="n">
        <f aca="false">'🤖 GPT 4o'!H35</f>
        <v>5</v>
      </c>
      <c r="H365" s="129" t="n">
        <f aca="false">'🤖 GPT 4o'!I35</f>
        <v>4</v>
      </c>
      <c r="I365" s="129" t="n">
        <f aca="false">'🤖 GPT 4o'!J35</f>
        <v>4</v>
      </c>
    </row>
    <row r="366" customFormat="false" ht="15.75" hidden="false" customHeight="false" outlineLevel="0" collapsed="false">
      <c r="A366" s="9"/>
      <c r="B366" s="9"/>
      <c r="C366" s="51"/>
      <c r="D366" s="9"/>
      <c r="E366" s="51"/>
      <c r="F366" s="51"/>
      <c r="G366" s="51"/>
      <c r="H366" s="51"/>
      <c r="I366" s="51"/>
    </row>
    <row r="367" customFormat="false" ht="15.75" hidden="false" customHeight="false" outlineLevel="0" collapsed="false">
      <c r="A367" s="128" t="str">
        <f aca="false">'🤖 GPT 4o'!$A$37</f>
        <v>https://www.berria.eus/kultura/itsasun-egingo-dute-irailekoak-poesia-jaialdia-aurten_2125293_102.html</v>
      </c>
      <c r="B367" s="4" t="s">
        <v>22</v>
      </c>
      <c r="C367" s="129" t="str">
        <f aca="false">'🤖 GPT 4o'!C37</f>
        <v>Base</v>
      </c>
      <c r="D367" s="150" t="n">
        <f aca="false">'🤖 GPT 4o'!E37</f>
        <v>0.4472049689</v>
      </c>
      <c r="E367" s="129" t="n">
        <f aca="false">'🤖 GPT 4o'!F37</f>
        <v>4</v>
      </c>
      <c r="F367" s="129" t="n">
        <f aca="false">'🤖 GPT 4o'!G37</f>
        <v>5</v>
      </c>
      <c r="G367" s="129" t="n">
        <f aca="false">'🤖 GPT 4o'!H37</f>
        <v>5</v>
      </c>
      <c r="H367" s="129" t="n">
        <f aca="false">'🤖 GPT 4o'!I37</f>
        <v>4</v>
      </c>
      <c r="I367" s="129" t="n">
        <f aca="false">'🤖 GPT 4o'!J37</f>
        <v>5</v>
      </c>
    </row>
    <row r="368" customFormat="false" ht="15.75" hidden="false" customHeight="false" outlineLevel="0" collapsed="false">
      <c r="A368" s="128" t="str">
        <f aca="false">'🤖 GPT 4o'!$A$37</f>
        <v>https://www.berria.eus/kultura/itsasun-egingo-dute-irailekoak-poesia-jaialdia-aurten_2125293_102.html</v>
      </c>
      <c r="B368" s="4" t="s">
        <v>22</v>
      </c>
      <c r="C368" s="129" t="str">
        <f aca="false">'🤖 GPT 4o'!C38</f>
        <v>CoT</v>
      </c>
      <c r="D368" s="149" t="n">
        <f aca="false">'🤖 GPT 4o'!E38</f>
        <v>0.4782608696</v>
      </c>
      <c r="E368" s="129" t="n">
        <f aca="false">'🤖 GPT 4o'!F38</f>
        <v>4</v>
      </c>
      <c r="F368" s="129" t="n">
        <f aca="false">'🤖 GPT 4o'!G38</f>
        <v>5</v>
      </c>
      <c r="G368" s="129" t="n">
        <f aca="false">'🤖 GPT 4o'!H38</f>
        <v>5</v>
      </c>
      <c r="H368" s="129" t="n">
        <f aca="false">'🤖 GPT 4o'!I38</f>
        <v>4</v>
      </c>
      <c r="I368" s="129" t="n">
        <f aca="false">'🤖 GPT 4o'!J38</f>
        <v>5</v>
      </c>
    </row>
    <row r="369" customFormat="false" ht="15.75" hidden="false" customHeight="false" outlineLevel="0" collapsed="false">
      <c r="A369" s="128" t="str">
        <f aca="false">'🤖 GPT 4o'!$A$37</f>
        <v>https://www.berria.eus/kultura/itsasun-egingo-dute-irailekoak-poesia-jaialdia-aurten_2125293_102.html</v>
      </c>
      <c r="B369" s="4" t="s">
        <v>22</v>
      </c>
      <c r="C369" s="129" t="str">
        <f aca="false">'🤖 GPT 4o'!C39</f>
        <v>5W1H</v>
      </c>
      <c r="D369" s="151" t="n">
        <f aca="false">'🤖 GPT 4o'!E39</f>
        <v>0.850931677</v>
      </c>
      <c r="E369" s="129" t="n">
        <f aca="false">'🤖 GPT 4o'!F39</f>
        <v>3</v>
      </c>
      <c r="F369" s="129" t="n">
        <f aca="false">'🤖 GPT 4o'!G39</f>
        <v>4</v>
      </c>
      <c r="G369" s="129" t="n">
        <f aca="false">'🤖 GPT 4o'!H39</f>
        <v>5</v>
      </c>
      <c r="H369" s="129" t="n">
        <f aca="false">'🤖 GPT 4o'!I39</f>
        <v>4</v>
      </c>
      <c r="I369" s="129" t="n">
        <f aca="false">'🤖 GPT 4o'!J39</f>
        <v>5</v>
      </c>
    </row>
    <row r="370" customFormat="false" ht="15.75" hidden="false" customHeight="false" outlineLevel="0" collapsed="false">
      <c r="A370" s="128" t="str">
        <f aca="false">'🤖 GPT 4o'!$A$37</f>
        <v>https://www.berria.eus/kultura/itsasun-egingo-dute-irailekoak-poesia-jaialdia-aurten_2125293_102.html</v>
      </c>
      <c r="B370" s="4" t="s">
        <v>22</v>
      </c>
      <c r="C370" s="129" t="str">
        <f aca="false">'🤖 GPT 4o'!C40</f>
        <v>tldr</v>
      </c>
      <c r="D370" s="158" t="n">
        <f aca="false">'🤖 GPT 4o'!E40</f>
        <v>0.3664596273</v>
      </c>
      <c r="E370" s="129" t="n">
        <f aca="false">'🤖 GPT 4o'!F40</f>
        <v>4</v>
      </c>
      <c r="F370" s="129" t="n">
        <f aca="false">'🤖 GPT 4o'!G40</f>
        <v>5</v>
      </c>
      <c r="G370" s="129" t="n">
        <f aca="false">'🤖 GPT 4o'!H40</f>
        <v>4</v>
      </c>
      <c r="H370" s="129" t="n">
        <f aca="false">'🤖 GPT 4o'!I40</f>
        <v>4</v>
      </c>
      <c r="I370" s="129" t="n">
        <f aca="false">'🤖 GPT 4o'!J40</f>
        <v>5</v>
      </c>
    </row>
    <row r="371" customFormat="false" ht="15.75" hidden="false" customHeight="false" outlineLevel="0" collapsed="false">
      <c r="A371" s="9"/>
      <c r="B371" s="9"/>
      <c r="C371" s="51"/>
      <c r="D371" s="9"/>
      <c r="E371" s="51"/>
      <c r="F371" s="51"/>
      <c r="G371" s="51"/>
      <c r="H371" s="51"/>
      <c r="I371" s="51"/>
    </row>
    <row r="372" customFormat="false" ht="15.75" hidden="false" customHeight="false" outlineLevel="0" collapsed="false">
      <c r="A372" s="128" t="str">
        <f aca="false">'🤖 GPT 4o'!$A$42</f>
        <v>https://www.berria.eus/kultura/nolabaiteko-kontrarreforma-bat-gertatzen-ari-da-eta-horren-aurrean-elkartu-beharra-daukagu_2124481_102.html</v>
      </c>
      <c r="B372" s="4" t="s">
        <v>22</v>
      </c>
      <c r="C372" s="129" t="str">
        <f aca="false">'🤖 GPT 4o'!C42</f>
        <v>Base</v>
      </c>
      <c r="D372" s="174" t="n">
        <f aca="false">'🤖 GPT 4o'!E42</f>
        <v>0.1828298887</v>
      </c>
      <c r="E372" s="129" t="n">
        <f aca="false">'🤖 GPT 4o'!F42</f>
        <v>5</v>
      </c>
      <c r="F372" s="129" t="n">
        <f aca="false">'🤖 GPT 4o'!G42</f>
        <v>5</v>
      </c>
      <c r="G372" s="129" t="n">
        <f aca="false">'🤖 GPT 4o'!H42</f>
        <v>5</v>
      </c>
      <c r="H372" s="129" t="n">
        <f aca="false">'🤖 GPT 4o'!I42</f>
        <v>4</v>
      </c>
      <c r="I372" s="129" t="n">
        <f aca="false">'🤖 GPT 4o'!J42</f>
        <v>5</v>
      </c>
    </row>
    <row r="373" customFormat="false" ht="15.75" hidden="false" customHeight="false" outlineLevel="0" collapsed="false">
      <c r="A373" s="128" t="str">
        <f aca="false">'🤖 GPT 4o'!$A$42</f>
        <v>https://www.berria.eus/kultura/nolabaiteko-kontrarreforma-bat-gertatzen-ari-da-eta-horren-aurrean-elkartu-beharra-daukagu_2124481_102.html</v>
      </c>
      <c r="B373" s="4" t="s">
        <v>22</v>
      </c>
      <c r="C373" s="129" t="str">
        <f aca="false">'🤖 GPT 4o'!C43</f>
        <v>CoT</v>
      </c>
      <c r="D373" s="162" t="n">
        <f aca="false">'🤖 GPT 4o'!E43</f>
        <v>0.146263911</v>
      </c>
      <c r="E373" s="129" t="n">
        <f aca="false">'🤖 GPT 4o'!F43</f>
        <v>5</v>
      </c>
      <c r="F373" s="129" t="n">
        <f aca="false">'🤖 GPT 4o'!G43</f>
        <v>4</v>
      </c>
      <c r="G373" s="129" t="n">
        <f aca="false">'🤖 GPT 4o'!H43</f>
        <v>4</v>
      </c>
      <c r="H373" s="129" t="n">
        <f aca="false">'🤖 GPT 4o'!I43</f>
        <v>4</v>
      </c>
      <c r="I373" s="129" t="n">
        <f aca="false">'🤖 GPT 4o'!J43</f>
        <v>5</v>
      </c>
    </row>
    <row r="374" customFormat="false" ht="15.75" hidden="false" customHeight="false" outlineLevel="0" collapsed="false">
      <c r="A374" s="128" t="str">
        <f aca="false">'🤖 GPT 4o'!$A$42</f>
        <v>https://www.berria.eus/kultura/nolabaiteko-kontrarreforma-bat-gertatzen-ari-da-eta-horren-aurrean-elkartu-beharra-daukagu_2124481_102.html</v>
      </c>
      <c r="B374" s="4" t="s">
        <v>22</v>
      </c>
      <c r="C374" s="129" t="str">
        <f aca="false">'🤖 GPT 4o'!C44</f>
        <v>5W1H</v>
      </c>
      <c r="D374" s="175" t="n">
        <f aca="false">'🤖 GPT 4o'!E44</f>
        <v>0.1717011129</v>
      </c>
      <c r="E374" s="129" t="n">
        <f aca="false">'🤖 GPT 4o'!F44</f>
        <v>3</v>
      </c>
      <c r="F374" s="129" t="n">
        <f aca="false">'🤖 GPT 4o'!G44</f>
        <v>4</v>
      </c>
      <c r="G374" s="129" t="n">
        <f aca="false">'🤖 GPT 4o'!H44</f>
        <v>5</v>
      </c>
      <c r="H374" s="129" t="n">
        <f aca="false">'🤖 GPT 4o'!I44</f>
        <v>4</v>
      </c>
      <c r="I374" s="129" t="n">
        <f aca="false">'🤖 GPT 4o'!J44</f>
        <v>5</v>
      </c>
    </row>
    <row r="375" customFormat="false" ht="15.75" hidden="false" customHeight="false" outlineLevel="0" collapsed="false">
      <c r="A375" s="128" t="str">
        <f aca="false">'🤖 GPT 4o'!$A$42</f>
        <v>https://www.berria.eus/kultura/nolabaiteko-kontrarreforma-bat-gertatzen-ari-da-eta-horren-aurrean-elkartu-beharra-daukagu_2124481_102.html</v>
      </c>
      <c r="B375" s="4" t="s">
        <v>22</v>
      </c>
      <c r="C375" s="129" t="str">
        <f aca="false">'🤖 GPT 4o'!C45</f>
        <v>tldr</v>
      </c>
      <c r="D375" s="150" t="n">
        <f aca="false">'🤖 GPT 4o'!E45</f>
        <v>0.1112877583</v>
      </c>
      <c r="E375" s="129" t="n">
        <f aca="false">'🤖 GPT 4o'!F45</f>
        <v>3</v>
      </c>
      <c r="F375" s="129" t="n">
        <f aca="false">'🤖 GPT 4o'!G45</f>
        <v>4</v>
      </c>
      <c r="G375" s="129" t="n">
        <f aca="false">'🤖 GPT 4o'!H45</f>
        <v>3</v>
      </c>
      <c r="H375" s="129" t="n">
        <f aca="false">'🤖 GPT 4o'!I45</f>
        <v>5</v>
      </c>
      <c r="I375" s="129" t="n">
        <f aca="false">'🤖 GPT 4o'!J45</f>
        <v>5</v>
      </c>
    </row>
    <row r="376" customFormat="false" ht="15.75" hidden="false" customHeight="false" outlineLevel="0" collapsed="false">
      <c r="A376" s="9"/>
      <c r="B376" s="9"/>
      <c r="C376" s="51"/>
      <c r="D376" s="9"/>
      <c r="E376" s="51"/>
      <c r="F376" s="51"/>
      <c r="G376" s="51"/>
      <c r="H376" s="51"/>
      <c r="I376" s="51"/>
    </row>
    <row r="377" customFormat="false" ht="15.75" hidden="false" customHeight="false" outlineLevel="0" collapsed="false">
      <c r="A377" s="128" t="str">
        <f aca="false">'🤖 GPT 4o'!$A$47</f>
        <v>https://www.berria.eus/euskal-herria/ortuzarrek-dio-eajk-euskadiko-estatus-berriari-bultzada-eman-nahi-diola_2124257_102.html</v>
      </c>
      <c r="B377" s="4" t="s">
        <v>22</v>
      </c>
      <c r="C377" s="129" t="str">
        <f aca="false">'🤖 GPT 4o'!C47</f>
        <v>Base</v>
      </c>
      <c r="D377" s="135" t="n">
        <f aca="false">'🤖 GPT 4o'!E47</f>
        <v>0.319391635</v>
      </c>
      <c r="E377" s="129" t="n">
        <f aca="false">'🤖 GPT 4o'!F47</f>
        <v>5</v>
      </c>
      <c r="F377" s="129" t="n">
        <f aca="false">'🤖 GPT 4o'!G47</f>
        <v>5</v>
      </c>
      <c r="G377" s="129" t="n">
        <f aca="false">'🤖 GPT 4o'!H47</f>
        <v>3</v>
      </c>
      <c r="H377" s="129" t="n">
        <f aca="false">'🤖 GPT 4o'!I47</f>
        <v>4</v>
      </c>
      <c r="I377" s="129" t="n">
        <f aca="false">'🤖 GPT 4o'!J47</f>
        <v>5</v>
      </c>
    </row>
    <row r="378" customFormat="false" ht="15.75" hidden="false" customHeight="false" outlineLevel="0" collapsed="false">
      <c r="A378" s="128" t="str">
        <f aca="false">'🤖 GPT 4o'!$A$47</f>
        <v>https://www.berria.eus/euskal-herria/ortuzarrek-dio-eajk-euskadiko-estatus-berriari-bultzada-eman-nahi-diola_2124257_102.html</v>
      </c>
      <c r="B378" s="4" t="s">
        <v>22</v>
      </c>
      <c r="C378" s="129" t="str">
        <f aca="false">'🤖 GPT 4o'!C48</f>
        <v>CoT</v>
      </c>
      <c r="D378" s="153" t="n">
        <f aca="false">'🤖 GPT 4o'!E48</f>
        <v>0.1482889734</v>
      </c>
      <c r="E378" s="129" t="n">
        <f aca="false">'🤖 GPT 4o'!F48</f>
        <v>4</v>
      </c>
      <c r="F378" s="129" t="n">
        <f aca="false">'🤖 GPT 4o'!G48</f>
        <v>4</v>
      </c>
      <c r="G378" s="129" t="n">
        <f aca="false">'🤖 GPT 4o'!H48</f>
        <v>5</v>
      </c>
      <c r="H378" s="129" t="n">
        <f aca="false">'🤖 GPT 4o'!I48</f>
        <v>4</v>
      </c>
      <c r="I378" s="129" t="n">
        <f aca="false">'🤖 GPT 4o'!J48</f>
        <v>3</v>
      </c>
    </row>
    <row r="379" customFormat="false" ht="15.75" hidden="false" customHeight="false" outlineLevel="0" collapsed="false">
      <c r="A379" s="128" t="str">
        <f aca="false">'🤖 GPT 4o'!$A$47</f>
        <v>https://www.berria.eus/euskal-herria/ortuzarrek-dio-eajk-euskadiko-estatus-berriari-bultzada-eman-nahi-diola_2124257_102.html</v>
      </c>
      <c r="B379" s="4" t="s">
        <v>22</v>
      </c>
      <c r="C379" s="129" t="str">
        <f aca="false">'🤖 GPT 4o'!C49</f>
        <v>5W1H</v>
      </c>
      <c r="D379" s="138" t="n">
        <f aca="false">'🤖 GPT 4o'!E49</f>
        <v>0.4581749049</v>
      </c>
      <c r="E379" s="129" t="n">
        <f aca="false">'🤖 GPT 4o'!F49</f>
        <v>3</v>
      </c>
      <c r="F379" s="129" t="n">
        <f aca="false">'🤖 GPT 4o'!G49</f>
        <v>3</v>
      </c>
      <c r="G379" s="129" t="n">
        <f aca="false">'🤖 GPT 4o'!H49</f>
        <v>4</v>
      </c>
      <c r="H379" s="129" t="n">
        <f aca="false">'🤖 GPT 4o'!I49</f>
        <v>3</v>
      </c>
      <c r="I379" s="129" t="n">
        <f aca="false">'🤖 GPT 4o'!J49</f>
        <v>5</v>
      </c>
    </row>
    <row r="380" customFormat="false" ht="15.75" hidden="false" customHeight="false" outlineLevel="0" collapsed="false">
      <c r="A380" s="128" t="str">
        <f aca="false">'🤖 GPT 4o'!$A$47</f>
        <v>https://www.berria.eus/euskal-herria/ortuzarrek-dio-eajk-euskadiko-estatus-berriari-bultzada-eman-nahi-diola_2124257_102.html</v>
      </c>
      <c r="B380" s="4" t="s">
        <v>22</v>
      </c>
      <c r="C380" s="129" t="str">
        <f aca="false">'🤖 GPT 4o'!C50</f>
        <v>tldr</v>
      </c>
      <c r="D380" s="142" t="n">
        <f aca="false">'🤖 GPT 4o'!E50</f>
        <v>0.1482889734</v>
      </c>
      <c r="E380" s="129" t="n">
        <f aca="false">'🤖 GPT 4o'!F50</f>
        <v>5</v>
      </c>
      <c r="F380" s="129" t="n">
        <f aca="false">'🤖 GPT 4o'!G50</f>
        <v>5</v>
      </c>
      <c r="G380" s="129" t="n">
        <f aca="false">'🤖 GPT 4o'!H50</f>
        <v>5</v>
      </c>
      <c r="H380" s="129" t="n">
        <f aca="false">'🤖 GPT 4o'!I50</f>
        <v>5</v>
      </c>
      <c r="I380" s="129" t="n">
        <f aca="false">'🤖 GPT 4o'!J50</f>
        <v>4</v>
      </c>
    </row>
    <row r="381" customFormat="false" ht="15.75" hidden="false" customHeight="false" outlineLevel="0" collapsed="false">
      <c r="A381" s="128"/>
      <c r="B381" s="4"/>
      <c r="C381" s="6"/>
      <c r="D381" s="142"/>
      <c r="E381" s="6"/>
      <c r="F381" s="6"/>
      <c r="G381" s="6"/>
      <c r="H381" s="6"/>
      <c r="I381" s="6"/>
    </row>
    <row r="382" customFormat="false" ht="15.75" hidden="false" customHeight="false" outlineLevel="0" collapsed="false">
      <c r="A382" s="128" t="n">
        <f aca="false">'🤖 GPT 4o'!$A$52</f>
        <v>0</v>
      </c>
      <c r="B382" s="4" t="s">
        <v>22</v>
      </c>
      <c r="C382" s="129" t="str">
        <f aca="false">'🤖 GPT 4o'!C52</f>
        <v>Base</v>
      </c>
      <c r="D382" s="142" t="n">
        <f aca="false">'🤖 GPT 4o'!E52</f>
        <v>0.001901140684</v>
      </c>
      <c r="E382" s="129" t="n">
        <f aca="false">'🤖 GPT 4o'!F52</f>
        <v>0</v>
      </c>
      <c r="F382" s="129" t="n">
        <f aca="false">'🤖 GPT 4o'!G52</f>
        <v>0</v>
      </c>
      <c r="G382" s="129" t="n">
        <f aca="false">'🤖 GPT 4o'!H52</f>
        <v>0</v>
      </c>
      <c r="H382" s="129" t="n">
        <f aca="false">'🤖 GPT 4o'!I52</f>
        <v>0</v>
      </c>
      <c r="I382" s="129" t="n">
        <f aca="false">'🤖 GPT 4o'!J52</f>
        <v>0</v>
      </c>
    </row>
    <row r="383" customFormat="false" ht="15.75" hidden="false" customHeight="false" outlineLevel="0" collapsed="false">
      <c r="A383" s="128" t="n">
        <f aca="false">'🤖 GPT 4o'!$A$52</f>
        <v>0</v>
      </c>
      <c r="B383" s="4" t="s">
        <v>22</v>
      </c>
      <c r="C383" s="129" t="str">
        <f aca="false">'🤖 GPT 4o'!C53</f>
        <v>CoT</v>
      </c>
      <c r="D383" s="142" t="n">
        <f aca="false">'🤖 GPT 4o'!E53</f>
        <v>0.001901140684</v>
      </c>
      <c r="E383" s="129" t="n">
        <f aca="false">'🤖 GPT 4o'!F53</f>
        <v>0</v>
      </c>
      <c r="F383" s="129" t="n">
        <f aca="false">'🤖 GPT 4o'!G53</f>
        <v>0</v>
      </c>
      <c r="G383" s="129" t="n">
        <f aca="false">'🤖 GPT 4o'!H53</f>
        <v>0</v>
      </c>
      <c r="H383" s="129" t="n">
        <f aca="false">'🤖 GPT 4o'!I53</f>
        <v>0</v>
      </c>
      <c r="I383" s="129" t="n">
        <f aca="false">'🤖 GPT 4o'!J53</f>
        <v>0</v>
      </c>
    </row>
    <row r="384" customFormat="false" ht="15.75" hidden="false" customHeight="false" outlineLevel="0" collapsed="false">
      <c r="A384" s="128" t="n">
        <f aca="false">'🤖 GPT 4o'!$A$52</f>
        <v>0</v>
      </c>
      <c r="B384" s="4" t="s">
        <v>22</v>
      </c>
      <c r="C384" s="129" t="str">
        <f aca="false">'🤖 GPT 4o'!C54</f>
        <v>5W1H</v>
      </c>
      <c r="D384" s="142" t="n">
        <f aca="false">'🤖 GPT 4o'!E54</f>
        <v>0.001901140684</v>
      </c>
      <c r="E384" s="129" t="n">
        <f aca="false">'🤖 GPT 4o'!F54</f>
        <v>0</v>
      </c>
      <c r="F384" s="129" t="n">
        <f aca="false">'🤖 GPT 4o'!G54</f>
        <v>0</v>
      </c>
      <c r="G384" s="129" t="n">
        <f aca="false">'🤖 GPT 4o'!H54</f>
        <v>0</v>
      </c>
      <c r="H384" s="129" t="n">
        <f aca="false">'🤖 GPT 4o'!I54</f>
        <v>0</v>
      </c>
      <c r="I384" s="129" t="n">
        <f aca="false">'🤖 GPT 4o'!J54</f>
        <v>0</v>
      </c>
    </row>
    <row r="385" customFormat="false" ht="15.75" hidden="false" customHeight="false" outlineLevel="0" collapsed="false">
      <c r="A385" s="128" t="n">
        <f aca="false">'🤖 GPT 4o'!$A$52</f>
        <v>0</v>
      </c>
      <c r="B385" s="4" t="s">
        <v>22</v>
      </c>
      <c r="C385" s="129" t="str">
        <f aca="false">'🤖 GPT 4o'!C55</f>
        <v>tldr</v>
      </c>
      <c r="D385" s="142" t="n">
        <f aca="false">'🤖 GPT 4o'!E55</f>
        <v>0.001901140684</v>
      </c>
      <c r="E385" s="129" t="n">
        <f aca="false">'🤖 GPT 4o'!F55</f>
        <v>0</v>
      </c>
      <c r="F385" s="129" t="n">
        <f aca="false">'🤖 GPT 4o'!G55</f>
        <v>0</v>
      </c>
      <c r="G385" s="129" t="n">
        <f aca="false">'🤖 GPT 4o'!H55</f>
        <v>0</v>
      </c>
      <c r="H385" s="129" t="n">
        <f aca="false">'🤖 GPT 4o'!I55</f>
        <v>0</v>
      </c>
      <c r="I385" s="129" t="n">
        <f aca="false">'🤖 GPT 4o'!J55</f>
        <v>0</v>
      </c>
    </row>
    <row r="386" customFormat="false" ht="15.75" hidden="false" customHeight="false" outlineLevel="0" collapsed="false">
      <c r="A386" s="128"/>
      <c r="B386" s="4"/>
      <c r="C386" s="6"/>
      <c r="D386" s="142"/>
      <c r="E386" s="6"/>
      <c r="F386" s="6"/>
      <c r="G386" s="6"/>
      <c r="H386" s="6"/>
      <c r="I386" s="6"/>
    </row>
    <row r="387" customFormat="false" ht="15.75" hidden="false" customHeight="false" outlineLevel="0" collapsed="false">
      <c r="A387" s="128" t="n">
        <f aca="false">'🤖 GPT 4o'!$A$57</f>
        <v>0</v>
      </c>
      <c r="B387" s="4" t="s">
        <v>22</v>
      </c>
      <c r="C387" s="129" t="str">
        <f aca="false">'🤖 GPT 4o'!C57</f>
        <v>Base</v>
      </c>
      <c r="D387" s="142" t="n">
        <f aca="false">'🤖 GPT 4o'!E57</f>
        <v>0.001901140684</v>
      </c>
      <c r="E387" s="129" t="n">
        <f aca="false">'🤖 GPT 4o'!F57</f>
        <v>0</v>
      </c>
      <c r="F387" s="129" t="n">
        <f aca="false">'🤖 GPT 4o'!G57</f>
        <v>0</v>
      </c>
      <c r="G387" s="129" t="n">
        <f aca="false">'🤖 GPT 4o'!H57</f>
        <v>0</v>
      </c>
      <c r="H387" s="129" t="n">
        <f aca="false">'🤖 GPT 4o'!I57</f>
        <v>0</v>
      </c>
      <c r="I387" s="129" t="n">
        <f aca="false">'🤖 GPT 4o'!J57</f>
        <v>0</v>
      </c>
    </row>
    <row r="388" customFormat="false" ht="15.75" hidden="false" customHeight="false" outlineLevel="0" collapsed="false">
      <c r="A388" s="128" t="n">
        <f aca="false">'🤖 GPT 4o'!$A$57</f>
        <v>0</v>
      </c>
      <c r="B388" s="4" t="s">
        <v>22</v>
      </c>
      <c r="C388" s="129" t="str">
        <f aca="false">'🤖 GPT 4o'!C58</f>
        <v>CoT</v>
      </c>
      <c r="D388" s="142" t="n">
        <f aca="false">'🤖 GPT 4o'!E58</f>
        <v>0.001901140684</v>
      </c>
      <c r="E388" s="129" t="n">
        <f aca="false">'🤖 GPT 4o'!F58</f>
        <v>0</v>
      </c>
      <c r="F388" s="129" t="n">
        <f aca="false">'🤖 GPT 4o'!G58</f>
        <v>0</v>
      </c>
      <c r="G388" s="129" t="n">
        <f aca="false">'🤖 GPT 4o'!H58</f>
        <v>0</v>
      </c>
      <c r="H388" s="129" t="n">
        <f aca="false">'🤖 GPT 4o'!I58</f>
        <v>0</v>
      </c>
      <c r="I388" s="129" t="n">
        <f aca="false">'🤖 GPT 4o'!J58</f>
        <v>0</v>
      </c>
    </row>
    <row r="389" customFormat="false" ht="15.75" hidden="false" customHeight="false" outlineLevel="0" collapsed="false">
      <c r="A389" s="128" t="n">
        <f aca="false">'🤖 GPT 4o'!$A$57</f>
        <v>0</v>
      </c>
      <c r="B389" s="4" t="s">
        <v>22</v>
      </c>
      <c r="C389" s="129" t="str">
        <f aca="false">'🤖 GPT 4o'!C59</f>
        <v>5W1H</v>
      </c>
      <c r="D389" s="142" t="n">
        <f aca="false">'🤖 GPT 4o'!E59</f>
        <v>0.001901140684</v>
      </c>
      <c r="E389" s="129" t="n">
        <f aca="false">'🤖 GPT 4o'!F59</f>
        <v>0</v>
      </c>
      <c r="F389" s="129" t="n">
        <f aca="false">'🤖 GPT 4o'!G59</f>
        <v>0</v>
      </c>
      <c r="G389" s="129" t="n">
        <f aca="false">'🤖 GPT 4o'!H59</f>
        <v>0</v>
      </c>
      <c r="H389" s="129" t="n">
        <f aca="false">'🤖 GPT 4o'!I59</f>
        <v>0</v>
      </c>
      <c r="I389" s="129" t="n">
        <f aca="false">'🤖 GPT 4o'!J59</f>
        <v>0</v>
      </c>
    </row>
    <row r="390" customFormat="false" ht="15.75" hidden="false" customHeight="false" outlineLevel="0" collapsed="false">
      <c r="A390" s="128" t="n">
        <f aca="false">'🤖 GPT 4o'!$A$57</f>
        <v>0</v>
      </c>
      <c r="B390" s="4" t="s">
        <v>22</v>
      </c>
      <c r="C390" s="129" t="str">
        <f aca="false">'🤖 GPT 4o'!C60</f>
        <v>tldr</v>
      </c>
      <c r="D390" s="142" t="n">
        <f aca="false">'🤖 GPT 4o'!E60</f>
        <v>0.001901140684</v>
      </c>
      <c r="E390" s="129" t="n">
        <f aca="false">'🤖 GPT 4o'!F60</f>
        <v>0</v>
      </c>
      <c r="F390" s="129" t="n">
        <f aca="false">'🤖 GPT 4o'!G60</f>
        <v>0</v>
      </c>
      <c r="G390" s="129" t="n">
        <f aca="false">'🤖 GPT 4o'!H60</f>
        <v>0</v>
      </c>
      <c r="H390" s="129" t="n">
        <f aca="false">'🤖 GPT 4o'!I60</f>
        <v>0</v>
      </c>
      <c r="I390" s="129" t="n">
        <f aca="false">'🤖 GPT 4o'!J60</f>
        <v>0</v>
      </c>
    </row>
    <row r="391" customFormat="false" ht="15.75" hidden="false" customHeight="false" outlineLevel="0" collapsed="false">
      <c r="A391" s="128"/>
      <c r="B391" s="4"/>
      <c r="C391" s="6"/>
      <c r="D391" s="142"/>
      <c r="E391" s="6"/>
      <c r="F391" s="6"/>
      <c r="G391" s="6"/>
      <c r="H391" s="6"/>
      <c r="I391" s="6"/>
    </row>
    <row r="392" customFormat="false" ht="15.75" hidden="false" customHeight="false" outlineLevel="0" collapsed="false">
      <c r="A392" s="128" t="n">
        <f aca="false">'🤖 GPT 4o'!$A$62</f>
        <v>0</v>
      </c>
      <c r="B392" s="4" t="s">
        <v>22</v>
      </c>
      <c r="C392" s="129" t="str">
        <f aca="false">'🤖 GPT 4o'!C62</f>
        <v>Base</v>
      </c>
      <c r="D392" s="142" t="n">
        <f aca="false">'🤖 GPT 4o'!E62</f>
        <v>0.001901140684</v>
      </c>
      <c r="E392" s="129" t="n">
        <f aca="false">'🤖 GPT 4o'!F62</f>
        <v>0</v>
      </c>
      <c r="F392" s="129" t="n">
        <f aca="false">'🤖 GPT 4o'!G62</f>
        <v>0</v>
      </c>
      <c r="G392" s="129" t="n">
        <f aca="false">'🤖 GPT 4o'!H62</f>
        <v>0</v>
      </c>
      <c r="H392" s="129" t="n">
        <f aca="false">'🤖 GPT 4o'!I62</f>
        <v>0</v>
      </c>
      <c r="I392" s="129" t="n">
        <f aca="false">'🤖 GPT 4o'!J62</f>
        <v>0</v>
      </c>
    </row>
    <row r="393" customFormat="false" ht="15.75" hidden="false" customHeight="false" outlineLevel="0" collapsed="false">
      <c r="A393" s="128" t="n">
        <f aca="false">'🤖 GPT 4o'!$A$62</f>
        <v>0</v>
      </c>
      <c r="B393" s="4" t="s">
        <v>22</v>
      </c>
      <c r="C393" s="129" t="str">
        <f aca="false">'🤖 GPT 4o'!C63</f>
        <v>CoT</v>
      </c>
      <c r="D393" s="142" t="n">
        <f aca="false">'🤖 GPT 4o'!E63</f>
        <v>0.001901140684</v>
      </c>
      <c r="E393" s="129" t="n">
        <f aca="false">'🤖 GPT 4o'!F63</f>
        <v>0</v>
      </c>
      <c r="F393" s="129" t="n">
        <f aca="false">'🤖 GPT 4o'!G63</f>
        <v>0</v>
      </c>
      <c r="G393" s="129" t="n">
        <f aca="false">'🤖 GPT 4o'!H63</f>
        <v>0</v>
      </c>
      <c r="H393" s="129" t="n">
        <f aca="false">'🤖 GPT 4o'!I63</f>
        <v>0</v>
      </c>
      <c r="I393" s="129" t="n">
        <f aca="false">'🤖 GPT 4o'!J63</f>
        <v>0</v>
      </c>
    </row>
    <row r="394" customFormat="false" ht="15.75" hidden="false" customHeight="false" outlineLevel="0" collapsed="false">
      <c r="A394" s="128" t="n">
        <f aca="false">'🤖 GPT 4o'!$A$62</f>
        <v>0</v>
      </c>
      <c r="B394" s="4" t="s">
        <v>22</v>
      </c>
      <c r="C394" s="129" t="str">
        <f aca="false">'🤖 GPT 4o'!C64</f>
        <v>5W1H</v>
      </c>
      <c r="D394" s="142" t="n">
        <f aca="false">'🤖 GPT 4o'!E64</f>
        <v>0.001901140684</v>
      </c>
      <c r="E394" s="129" t="n">
        <f aca="false">'🤖 GPT 4o'!F64</f>
        <v>0</v>
      </c>
      <c r="F394" s="129" t="n">
        <f aca="false">'🤖 GPT 4o'!G64</f>
        <v>0</v>
      </c>
      <c r="G394" s="129" t="n">
        <f aca="false">'🤖 GPT 4o'!H64</f>
        <v>0</v>
      </c>
      <c r="H394" s="129" t="n">
        <f aca="false">'🤖 GPT 4o'!I64</f>
        <v>0</v>
      </c>
      <c r="I394" s="129" t="n">
        <f aca="false">'🤖 GPT 4o'!J64</f>
        <v>0</v>
      </c>
    </row>
    <row r="395" customFormat="false" ht="15.75" hidden="false" customHeight="false" outlineLevel="0" collapsed="false">
      <c r="A395" s="128" t="n">
        <f aca="false">'🤖 GPT 4o'!$A$62</f>
        <v>0</v>
      </c>
      <c r="B395" s="4" t="s">
        <v>22</v>
      </c>
      <c r="C395" s="129" t="str">
        <f aca="false">'🤖 GPT 4o'!C65</f>
        <v>tldr</v>
      </c>
      <c r="D395" s="142" t="n">
        <f aca="false">'🤖 GPT 4o'!E65</f>
        <v>0.001901140684</v>
      </c>
      <c r="E395" s="129" t="n">
        <f aca="false">'🤖 GPT 4o'!F65</f>
        <v>0</v>
      </c>
      <c r="F395" s="129" t="n">
        <f aca="false">'🤖 GPT 4o'!G65</f>
        <v>0</v>
      </c>
      <c r="G395" s="129" t="n">
        <f aca="false">'🤖 GPT 4o'!H65</f>
        <v>0</v>
      </c>
      <c r="H395" s="129" t="n">
        <f aca="false">'🤖 GPT 4o'!I65</f>
        <v>0</v>
      </c>
      <c r="I395" s="129" t="n">
        <f aca="false">'🤖 GPT 4o'!J65</f>
        <v>0</v>
      </c>
    </row>
    <row r="396" customFormat="false" ht="15.75" hidden="false" customHeight="false" outlineLevel="0" collapsed="false">
      <c r="A396" s="128"/>
      <c r="B396" s="4"/>
      <c r="C396" s="6"/>
      <c r="D396" s="142"/>
      <c r="E396" s="6"/>
      <c r="F396" s="6"/>
      <c r="G396" s="6"/>
      <c r="H396" s="6"/>
      <c r="I396" s="6"/>
    </row>
    <row r="397" customFormat="false" ht="15.75" hidden="false" customHeight="false" outlineLevel="0" collapsed="false">
      <c r="A397" s="128" t="n">
        <f aca="false">'🤖 GPT 4o'!$A$67</f>
        <v>0</v>
      </c>
      <c r="B397" s="4" t="s">
        <v>22</v>
      </c>
      <c r="C397" s="129" t="str">
        <f aca="false">'🤖 GPT 4o'!C67</f>
        <v>Base</v>
      </c>
      <c r="D397" s="142" t="n">
        <f aca="false">'🤖 GPT 4o'!E67</f>
        <v>0.001901140684</v>
      </c>
      <c r="E397" s="129" t="n">
        <f aca="false">'🤖 GPT 4o'!F67</f>
        <v>0</v>
      </c>
      <c r="F397" s="129" t="n">
        <f aca="false">'🤖 GPT 4o'!G67</f>
        <v>0</v>
      </c>
      <c r="G397" s="129" t="n">
        <f aca="false">'🤖 GPT 4o'!H67</f>
        <v>0</v>
      </c>
      <c r="H397" s="129" t="n">
        <f aca="false">'🤖 GPT 4o'!I67</f>
        <v>0</v>
      </c>
      <c r="I397" s="129" t="n">
        <f aca="false">'🤖 GPT 4o'!J67</f>
        <v>0</v>
      </c>
    </row>
    <row r="398" customFormat="false" ht="15.75" hidden="false" customHeight="false" outlineLevel="0" collapsed="false">
      <c r="A398" s="128" t="n">
        <f aca="false">'🤖 GPT 4o'!$A$67</f>
        <v>0</v>
      </c>
      <c r="B398" s="4" t="s">
        <v>22</v>
      </c>
      <c r="C398" s="129" t="str">
        <f aca="false">'🤖 GPT 4o'!C68</f>
        <v>CoT</v>
      </c>
      <c r="D398" s="142" t="n">
        <f aca="false">'🤖 GPT 4o'!E68</f>
        <v>0.001901140684</v>
      </c>
      <c r="E398" s="129" t="n">
        <f aca="false">'🤖 GPT 4o'!F68</f>
        <v>0</v>
      </c>
      <c r="F398" s="129" t="n">
        <f aca="false">'🤖 GPT 4o'!G68</f>
        <v>0</v>
      </c>
      <c r="G398" s="129" t="n">
        <f aca="false">'🤖 GPT 4o'!H68</f>
        <v>0</v>
      </c>
      <c r="H398" s="129" t="n">
        <f aca="false">'🤖 GPT 4o'!I68</f>
        <v>0</v>
      </c>
      <c r="I398" s="129" t="n">
        <f aca="false">'🤖 GPT 4o'!J68</f>
        <v>0</v>
      </c>
    </row>
    <row r="399" customFormat="false" ht="15.75" hidden="false" customHeight="false" outlineLevel="0" collapsed="false">
      <c r="A399" s="128" t="n">
        <f aca="false">'🤖 GPT 4o'!$A$67</f>
        <v>0</v>
      </c>
      <c r="B399" s="4" t="s">
        <v>22</v>
      </c>
      <c r="C399" s="129" t="str">
        <f aca="false">'🤖 GPT 4o'!C69</f>
        <v>5W1H</v>
      </c>
      <c r="D399" s="142" t="n">
        <f aca="false">'🤖 GPT 4o'!E69</f>
        <v>0.001901140684</v>
      </c>
      <c r="E399" s="129" t="n">
        <f aca="false">'🤖 GPT 4o'!F69</f>
        <v>0</v>
      </c>
      <c r="F399" s="129" t="n">
        <f aca="false">'🤖 GPT 4o'!G69</f>
        <v>0</v>
      </c>
      <c r="G399" s="129" t="n">
        <f aca="false">'🤖 GPT 4o'!H69</f>
        <v>0</v>
      </c>
      <c r="H399" s="129" t="n">
        <f aca="false">'🤖 GPT 4o'!I69</f>
        <v>0</v>
      </c>
      <c r="I399" s="129" t="n">
        <f aca="false">'🤖 GPT 4o'!J69</f>
        <v>0</v>
      </c>
    </row>
    <row r="400" customFormat="false" ht="15.75" hidden="false" customHeight="false" outlineLevel="0" collapsed="false">
      <c r="A400" s="128" t="n">
        <f aca="false">'🤖 GPT 4o'!$A$67</f>
        <v>0</v>
      </c>
      <c r="B400" s="4" t="s">
        <v>22</v>
      </c>
      <c r="C400" s="129" t="str">
        <f aca="false">'🤖 GPT 4o'!C70</f>
        <v>tldr</v>
      </c>
      <c r="D400" s="142" t="n">
        <f aca="false">'🤖 GPT 4o'!E70</f>
        <v>0.001901140684</v>
      </c>
      <c r="E400" s="129" t="n">
        <f aca="false">'🤖 GPT 4o'!F70</f>
        <v>0</v>
      </c>
      <c r="F400" s="129" t="n">
        <f aca="false">'🤖 GPT 4o'!G70</f>
        <v>0</v>
      </c>
      <c r="G400" s="129" t="n">
        <f aca="false">'🤖 GPT 4o'!H70</f>
        <v>0</v>
      </c>
      <c r="H400" s="129" t="n">
        <f aca="false">'🤖 GPT 4o'!I70</f>
        <v>0</v>
      </c>
      <c r="I400" s="129" t="n">
        <f aca="false">'🤖 GPT 4o'!J70</f>
        <v>0</v>
      </c>
    </row>
    <row r="401" customFormat="false" ht="15.75" hidden="false" customHeight="false" outlineLevel="0" collapsed="false">
      <c r="A401" s="128"/>
      <c r="B401" s="4"/>
      <c r="C401" s="6"/>
      <c r="D401" s="142"/>
      <c r="E401" s="6"/>
      <c r="F401" s="6"/>
      <c r="G401" s="6"/>
      <c r="H401" s="6"/>
      <c r="I401" s="6"/>
    </row>
    <row r="402" customFormat="false" ht="15.75" hidden="false" customHeight="false" outlineLevel="0" collapsed="false">
      <c r="A402" s="128" t="n">
        <f aca="false">'🤖 GPT 4o'!$A$72</f>
        <v>0</v>
      </c>
      <c r="B402" s="4" t="s">
        <v>22</v>
      </c>
      <c r="C402" s="129" t="str">
        <f aca="false">'🤖 GPT 4o'!C72</f>
        <v>Base</v>
      </c>
      <c r="D402" s="142" t="n">
        <f aca="false">'🤖 GPT 4o'!E72</f>
        <v>0.001901140684</v>
      </c>
      <c r="E402" s="129" t="n">
        <f aca="false">'🤖 GPT 4o'!F72</f>
        <v>0</v>
      </c>
      <c r="F402" s="129" t="n">
        <f aca="false">'🤖 GPT 4o'!G72</f>
        <v>0</v>
      </c>
      <c r="G402" s="129" t="n">
        <f aca="false">'🤖 GPT 4o'!H72</f>
        <v>0</v>
      </c>
      <c r="H402" s="129" t="n">
        <f aca="false">'🤖 GPT 4o'!I72</f>
        <v>0</v>
      </c>
      <c r="I402" s="129" t="n">
        <f aca="false">'🤖 GPT 4o'!J72</f>
        <v>0</v>
      </c>
    </row>
    <row r="403" customFormat="false" ht="15.75" hidden="false" customHeight="false" outlineLevel="0" collapsed="false">
      <c r="A403" s="128" t="n">
        <f aca="false">'🤖 GPT 4o'!$A$72</f>
        <v>0</v>
      </c>
      <c r="B403" s="4" t="s">
        <v>22</v>
      </c>
      <c r="C403" s="129" t="str">
        <f aca="false">'🤖 GPT 4o'!C73</f>
        <v>CoT</v>
      </c>
      <c r="D403" s="142" t="n">
        <f aca="false">'🤖 GPT 4o'!E73</f>
        <v>0.001901140684</v>
      </c>
      <c r="E403" s="129" t="n">
        <f aca="false">'🤖 GPT 4o'!F73</f>
        <v>0</v>
      </c>
      <c r="F403" s="129" t="n">
        <f aca="false">'🤖 GPT 4o'!G73</f>
        <v>0</v>
      </c>
      <c r="G403" s="129" t="n">
        <f aca="false">'🤖 GPT 4o'!H73</f>
        <v>0</v>
      </c>
      <c r="H403" s="129" t="n">
        <f aca="false">'🤖 GPT 4o'!I73</f>
        <v>0</v>
      </c>
      <c r="I403" s="129" t="n">
        <f aca="false">'🤖 GPT 4o'!J73</f>
        <v>0</v>
      </c>
    </row>
    <row r="404" customFormat="false" ht="15.75" hidden="false" customHeight="false" outlineLevel="0" collapsed="false">
      <c r="A404" s="128" t="n">
        <f aca="false">'🤖 GPT 4o'!$A$72</f>
        <v>0</v>
      </c>
      <c r="B404" s="4" t="s">
        <v>22</v>
      </c>
      <c r="C404" s="129" t="str">
        <f aca="false">'🤖 GPT 4o'!C74</f>
        <v>5W1H</v>
      </c>
      <c r="D404" s="142" t="n">
        <f aca="false">'🤖 GPT 4o'!E74</f>
        <v>0.001901140684</v>
      </c>
      <c r="E404" s="129" t="n">
        <f aca="false">'🤖 GPT 4o'!F74</f>
        <v>0</v>
      </c>
      <c r="F404" s="129" t="n">
        <f aca="false">'🤖 GPT 4o'!G74</f>
        <v>0</v>
      </c>
      <c r="G404" s="129" t="n">
        <f aca="false">'🤖 GPT 4o'!H74</f>
        <v>0</v>
      </c>
      <c r="H404" s="129" t="n">
        <f aca="false">'🤖 GPT 4o'!I74</f>
        <v>0</v>
      </c>
      <c r="I404" s="129" t="n">
        <f aca="false">'🤖 GPT 4o'!J74</f>
        <v>0</v>
      </c>
    </row>
    <row r="405" customFormat="false" ht="15.75" hidden="false" customHeight="false" outlineLevel="0" collapsed="false">
      <c r="A405" s="128" t="n">
        <f aca="false">'🤖 GPT 4o'!$A$72</f>
        <v>0</v>
      </c>
      <c r="B405" s="4" t="s">
        <v>22</v>
      </c>
      <c r="C405" s="129" t="str">
        <f aca="false">'🤖 GPT 4o'!C75</f>
        <v>tldr</v>
      </c>
      <c r="D405" s="142" t="n">
        <f aca="false">'🤖 GPT 4o'!E75</f>
        <v>0.001901140684</v>
      </c>
      <c r="E405" s="129" t="n">
        <f aca="false">'🤖 GPT 4o'!F75</f>
        <v>0</v>
      </c>
      <c r="F405" s="129" t="n">
        <f aca="false">'🤖 GPT 4o'!G75</f>
        <v>0</v>
      </c>
      <c r="G405" s="129" t="n">
        <f aca="false">'🤖 GPT 4o'!H75</f>
        <v>0</v>
      </c>
      <c r="H405" s="129" t="n">
        <f aca="false">'🤖 GPT 4o'!I75</f>
        <v>0</v>
      </c>
      <c r="I405" s="129" t="n">
        <f aca="false">'🤖 GPT 4o'!J75</f>
        <v>0</v>
      </c>
    </row>
    <row r="406" customFormat="false" ht="15.75" hidden="false" customHeight="false" outlineLevel="0" collapsed="false">
      <c r="A406" s="128"/>
      <c r="B406" s="4"/>
      <c r="C406" s="6"/>
      <c r="D406" s="142"/>
      <c r="E406" s="6"/>
      <c r="F406" s="6"/>
      <c r="G406" s="6"/>
      <c r="H406" s="6"/>
      <c r="I406" s="6"/>
    </row>
    <row r="407" customFormat="false" ht="15.75" hidden="false" customHeight="false" outlineLevel="0" collapsed="false">
      <c r="A407" s="128" t="n">
        <f aca="false">'🤖 GPT 4o'!$A$77</f>
        <v>0</v>
      </c>
      <c r="B407" s="4" t="s">
        <v>22</v>
      </c>
      <c r="C407" s="129" t="str">
        <f aca="false">'🤖 GPT 4o'!C77</f>
        <v>Base</v>
      </c>
      <c r="D407" s="142" t="n">
        <f aca="false">'🤖 GPT 4o'!E77</f>
        <v>0.001901140684</v>
      </c>
      <c r="E407" s="129" t="n">
        <f aca="false">'🤖 GPT 4o'!F77</f>
        <v>0</v>
      </c>
      <c r="F407" s="129" t="n">
        <f aca="false">'🤖 GPT 4o'!G77</f>
        <v>0</v>
      </c>
      <c r="G407" s="129" t="n">
        <f aca="false">'🤖 GPT 4o'!H77</f>
        <v>0</v>
      </c>
      <c r="H407" s="129" t="n">
        <f aca="false">'🤖 GPT 4o'!I77</f>
        <v>0</v>
      </c>
      <c r="I407" s="129" t="n">
        <f aca="false">'🤖 GPT 4o'!J77</f>
        <v>0</v>
      </c>
    </row>
    <row r="408" customFormat="false" ht="15.75" hidden="false" customHeight="false" outlineLevel="0" collapsed="false">
      <c r="A408" s="128" t="n">
        <f aca="false">'🤖 GPT 4o'!$A$77</f>
        <v>0</v>
      </c>
      <c r="B408" s="4" t="s">
        <v>22</v>
      </c>
      <c r="C408" s="129" t="str">
        <f aca="false">'🤖 GPT 4o'!C78</f>
        <v>CoT</v>
      </c>
      <c r="D408" s="142" t="n">
        <f aca="false">'🤖 GPT 4o'!E78</f>
        <v>0.001901140684</v>
      </c>
      <c r="E408" s="129" t="n">
        <f aca="false">'🤖 GPT 4o'!F78</f>
        <v>0</v>
      </c>
      <c r="F408" s="129" t="n">
        <f aca="false">'🤖 GPT 4o'!G78</f>
        <v>0</v>
      </c>
      <c r="G408" s="129" t="n">
        <f aca="false">'🤖 GPT 4o'!H78</f>
        <v>0</v>
      </c>
      <c r="H408" s="129" t="n">
        <f aca="false">'🤖 GPT 4o'!I78</f>
        <v>0</v>
      </c>
      <c r="I408" s="129" t="n">
        <f aca="false">'🤖 GPT 4o'!J78</f>
        <v>0</v>
      </c>
    </row>
    <row r="409" customFormat="false" ht="15.75" hidden="false" customHeight="false" outlineLevel="0" collapsed="false">
      <c r="A409" s="128" t="n">
        <f aca="false">'🤖 GPT 4o'!$A$77</f>
        <v>0</v>
      </c>
      <c r="B409" s="4" t="s">
        <v>22</v>
      </c>
      <c r="C409" s="129" t="str">
        <f aca="false">'🤖 GPT 4o'!C79</f>
        <v>5W1H</v>
      </c>
      <c r="D409" s="142" t="n">
        <f aca="false">'🤖 GPT 4o'!E79</f>
        <v>0.001901140684</v>
      </c>
      <c r="E409" s="129" t="n">
        <f aca="false">'🤖 GPT 4o'!F79</f>
        <v>0</v>
      </c>
      <c r="F409" s="129" t="n">
        <f aca="false">'🤖 GPT 4o'!G79</f>
        <v>0</v>
      </c>
      <c r="G409" s="129" t="n">
        <f aca="false">'🤖 GPT 4o'!H79</f>
        <v>0</v>
      </c>
      <c r="H409" s="129" t="n">
        <f aca="false">'🤖 GPT 4o'!I79</f>
        <v>0</v>
      </c>
      <c r="I409" s="129" t="n">
        <f aca="false">'🤖 GPT 4o'!J79</f>
        <v>0</v>
      </c>
    </row>
    <row r="410" customFormat="false" ht="15.75" hidden="false" customHeight="false" outlineLevel="0" collapsed="false">
      <c r="A410" s="128" t="n">
        <f aca="false">'🤖 GPT 4o'!$A$77</f>
        <v>0</v>
      </c>
      <c r="B410" s="4" t="s">
        <v>22</v>
      </c>
      <c r="C410" s="129" t="str">
        <f aca="false">'🤖 GPT 4o'!C80</f>
        <v>tldr</v>
      </c>
      <c r="D410" s="142" t="n">
        <f aca="false">'🤖 GPT 4o'!E80</f>
        <v>0.001901140684</v>
      </c>
      <c r="E410" s="129" t="n">
        <f aca="false">'🤖 GPT 4o'!F80</f>
        <v>0</v>
      </c>
      <c r="F410" s="129" t="n">
        <f aca="false">'🤖 GPT 4o'!G80</f>
        <v>0</v>
      </c>
      <c r="G410" s="129" t="n">
        <f aca="false">'🤖 GPT 4o'!H80</f>
        <v>0</v>
      </c>
      <c r="H410" s="129" t="n">
        <f aca="false">'🤖 GPT 4o'!I80</f>
        <v>0</v>
      </c>
      <c r="I410" s="129" t="n">
        <f aca="false">'🤖 GPT 4o'!J80</f>
        <v>0</v>
      </c>
    </row>
    <row r="411" customFormat="false" ht="15.75" hidden="false" customHeight="false" outlineLevel="0" collapsed="false">
      <c r="A411" s="128"/>
      <c r="B411" s="4"/>
      <c r="C411" s="6"/>
      <c r="D411" s="142"/>
      <c r="E411" s="6"/>
      <c r="F411" s="6"/>
      <c r="G411" s="6"/>
      <c r="H411" s="6"/>
      <c r="I411" s="6"/>
    </row>
    <row r="412" customFormat="false" ht="15.75" hidden="false" customHeight="false" outlineLevel="0" collapsed="false">
      <c r="A412" s="128" t="n">
        <f aca="false">'🤖 GPT 4o'!$A$82</f>
        <v>0</v>
      </c>
      <c r="B412" s="4" t="s">
        <v>22</v>
      </c>
      <c r="C412" s="129" t="str">
        <f aca="false">'🤖 GPT 4o'!C82</f>
        <v>Base</v>
      </c>
      <c r="D412" s="142" t="n">
        <f aca="false">'🤖 GPT 4o'!E82</f>
        <v>0.001901140684</v>
      </c>
      <c r="E412" s="129" t="n">
        <f aca="false">'🤖 GPT 4o'!F82</f>
        <v>0</v>
      </c>
      <c r="F412" s="129" t="n">
        <f aca="false">'🤖 GPT 4o'!G82</f>
        <v>0</v>
      </c>
      <c r="G412" s="129" t="n">
        <f aca="false">'🤖 GPT 4o'!H82</f>
        <v>0</v>
      </c>
      <c r="H412" s="129" t="n">
        <f aca="false">'🤖 GPT 4o'!I82</f>
        <v>0</v>
      </c>
      <c r="I412" s="129" t="n">
        <f aca="false">'🤖 GPT 4o'!J82</f>
        <v>0</v>
      </c>
    </row>
    <row r="413" customFormat="false" ht="15.75" hidden="false" customHeight="false" outlineLevel="0" collapsed="false">
      <c r="A413" s="128" t="n">
        <f aca="false">'🤖 GPT 4o'!$A$82</f>
        <v>0</v>
      </c>
      <c r="B413" s="4" t="s">
        <v>22</v>
      </c>
      <c r="C413" s="129" t="str">
        <f aca="false">'🤖 GPT 4o'!C83</f>
        <v>CoT</v>
      </c>
      <c r="D413" s="142" t="n">
        <f aca="false">'🤖 GPT 4o'!E83</f>
        <v>0.001901140684</v>
      </c>
      <c r="E413" s="129" t="n">
        <f aca="false">'🤖 GPT 4o'!F83</f>
        <v>0</v>
      </c>
      <c r="F413" s="129" t="n">
        <f aca="false">'🤖 GPT 4o'!G83</f>
        <v>0</v>
      </c>
      <c r="G413" s="129" t="n">
        <f aca="false">'🤖 GPT 4o'!H83</f>
        <v>0</v>
      </c>
      <c r="H413" s="129" t="n">
        <f aca="false">'🤖 GPT 4o'!I83</f>
        <v>0</v>
      </c>
      <c r="I413" s="129" t="n">
        <f aca="false">'🤖 GPT 4o'!J83</f>
        <v>0</v>
      </c>
    </row>
    <row r="414" customFormat="false" ht="15.75" hidden="false" customHeight="false" outlineLevel="0" collapsed="false">
      <c r="A414" s="128" t="n">
        <f aca="false">'🤖 GPT 4o'!$A$82</f>
        <v>0</v>
      </c>
      <c r="B414" s="4" t="s">
        <v>22</v>
      </c>
      <c r="C414" s="129" t="str">
        <f aca="false">'🤖 GPT 4o'!C84</f>
        <v>5W1H</v>
      </c>
      <c r="D414" s="142" t="n">
        <f aca="false">'🤖 GPT 4o'!E84</f>
        <v>0.001901140684</v>
      </c>
      <c r="E414" s="129" t="n">
        <f aca="false">'🤖 GPT 4o'!F84</f>
        <v>0</v>
      </c>
      <c r="F414" s="129" t="n">
        <f aca="false">'🤖 GPT 4o'!G84</f>
        <v>0</v>
      </c>
      <c r="G414" s="129" t="n">
        <f aca="false">'🤖 GPT 4o'!H84</f>
        <v>0</v>
      </c>
      <c r="H414" s="129" t="n">
        <f aca="false">'🤖 GPT 4o'!I84</f>
        <v>0</v>
      </c>
      <c r="I414" s="129" t="n">
        <f aca="false">'🤖 GPT 4o'!J84</f>
        <v>0</v>
      </c>
    </row>
    <row r="415" customFormat="false" ht="15.75" hidden="false" customHeight="false" outlineLevel="0" collapsed="false">
      <c r="A415" s="128" t="n">
        <f aca="false">'🤖 GPT 4o'!$A$82</f>
        <v>0</v>
      </c>
      <c r="B415" s="4" t="s">
        <v>22</v>
      </c>
      <c r="C415" s="129" t="str">
        <f aca="false">'🤖 GPT 4o'!C85</f>
        <v>tldr</v>
      </c>
      <c r="D415" s="142" t="n">
        <f aca="false">'🤖 GPT 4o'!E85</f>
        <v>0.001901140684</v>
      </c>
      <c r="E415" s="129" t="n">
        <f aca="false">'🤖 GPT 4o'!F85</f>
        <v>0</v>
      </c>
      <c r="F415" s="129" t="n">
        <f aca="false">'🤖 GPT 4o'!G85</f>
        <v>0</v>
      </c>
      <c r="G415" s="129" t="n">
        <f aca="false">'🤖 GPT 4o'!H85</f>
        <v>0</v>
      </c>
      <c r="H415" s="129" t="n">
        <f aca="false">'🤖 GPT 4o'!I85</f>
        <v>0</v>
      </c>
      <c r="I415" s="129" t="n">
        <f aca="false">'🤖 GPT 4o'!J85</f>
        <v>0</v>
      </c>
    </row>
    <row r="416" customFormat="false" ht="15.75" hidden="false" customHeight="false" outlineLevel="0" collapsed="false">
      <c r="A416" s="128"/>
      <c r="B416" s="4"/>
      <c r="C416" s="6"/>
      <c r="D416" s="142"/>
      <c r="E416" s="6"/>
      <c r="F416" s="6"/>
      <c r="G416" s="6"/>
      <c r="H416" s="6"/>
      <c r="I416" s="6"/>
    </row>
    <row r="417" customFormat="false" ht="15.75" hidden="false" customHeight="false" outlineLevel="0" collapsed="false">
      <c r="A417" s="128" t="n">
        <f aca="false">'🤖 GPT 4o'!$A$87</f>
        <v>0</v>
      </c>
      <c r="B417" s="4" t="s">
        <v>22</v>
      </c>
      <c r="C417" s="129" t="str">
        <f aca="false">'🤖 GPT 4o'!C87</f>
        <v>Base</v>
      </c>
      <c r="D417" s="142" t="n">
        <f aca="false">'🤖 GPT 4o'!E87</f>
        <v>0.001901140684</v>
      </c>
      <c r="E417" s="129" t="n">
        <f aca="false">'🤖 GPT 4o'!F87</f>
        <v>0</v>
      </c>
      <c r="F417" s="129" t="n">
        <f aca="false">'🤖 GPT 4o'!G87</f>
        <v>0</v>
      </c>
      <c r="G417" s="129" t="n">
        <f aca="false">'🤖 GPT 4o'!H87</f>
        <v>0</v>
      </c>
      <c r="H417" s="129" t="n">
        <f aca="false">'🤖 GPT 4o'!I87</f>
        <v>0</v>
      </c>
      <c r="I417" s="129" t="n">
        <f aca="false">'🤖 GPT 4o'!J87</f>
        <v>0</v>
      </c>
    </row>
    <row r="418" customFormat="false" ht="15.75" hidden="false" customHeight="false" outlineLevel="0" collapsed="false">
      <c r="A418" s="128" t="n">
        <f aca="false">'🤖 GPT 4o'!$A$87</f>
        <v>0</v>
      </c>
      <c r="B418" s="4" t="s">
        <v>22</v>
      </c>
      <c r="C418" s="129" t="str">
        <f aca="false">'🤖 GPT 4o'!C88</f>
        <v>CoT</v>
      </c>
      <c r="D418" s="142" t="n">
        <f aca="false">'🤖 GPT 4o'!E88</f>
        <v>0.001901140684</v>
      </c>
      <c r="E418" s="129" t="n">
        <f aca="false">'🤖 GPT 4o'!F88</f>
        <v>0</v>
      </c>
      <c r="F418" s="129" t="n">
        <f aca="false">'🤖 GPT 4o'!G88</f>
        <v>0</v>
      </c>
      <c r="G418" s="129" t="n">
        <f aca="false">'🤖 GPT 4o'!H88</f>
        <v>0</v>
      </c>
      <c r="H418" s="129" t="n">
        <f aca="false">'🤖 GPT 4o'!I88</f>
        <v>0</v>
      </c>
      <c r="I418" s="129" t="n">
        <f aca="false">'🤖 GPT 4o'!J88</f>
        <v>0</v>
      </c>
    </row>
    <row r="419" customFormat="false" ht="15.75" hidden="false" customHeight="false" outlineLevel="0" collapsed="false">
      <c r="A419" s="128" t="n">
        <f aca="false">'🤖 GPT 4o'!$A$87</f>
        <v>0</v>
      </c>
      <c r="B419" s="4" t="s">
        <v>22</v>
      </c>
      <c r="C419" s="129" t="str">
        <f aca="false">'🤖 GPT 4o'!C89</f>
        <v>5W1H</v>
      </c>
      <c r="D419" s="142" t="n">
        <f aca="false">'🤖 GPT 4o'!E89</f>
        <v>0.001901140684</v>
      </c>
      <c r="E419" s="129" t="n">
        <f aca="false">'🤖 GPT 4o'!F89</f>
        <v>0</v>
      </c>
      <c r="F419" s="129" t="n">
        <f aca="false">'🤖 GPT 4o'!G89</f>
        <v>0</v>
      </c>
      <c r="G419" s="129" t="n">
        <f aca="false">'🤖 GPT 4o'!H89</f>
        <v>0</v>
      </c>
      <c r="H419" s="129" t="n">
        <f aca="false">'🤖 GPT 4o'!I89</f>
        <v>0</v>
      </c>
      <c r="I419" s="129" t="n">
        <f aca="false">'🤖 GPT 4o'!J89</f>
        <v>0</v>
      </c>
    </row>
    <row r="420" customFormat="false" ht="15.75" hidden="false" customHeight="false" outlineLevel="0" collapsed="false">
      <c r="A420" s="128" t="n">
        <f aca="false">'🤖 GPT 4o'!$A$87</f>
        <v>0</v>
      </c>
      <c r="B420" s="4" t="s">
        <v>22</v>
      </c>
      <c r="C420" s="129" t="str">
        <f aca="false">'🤖 GPT 4o'!C90</f>
        <v>tldr</v>
      </c>
      <c r="D420" s="142" t="n">
        <f aca="false">'🤖 GPT 4o'!E90</f>
        <v>0.001901140684</v>
      </c>
      <c r="E420" s="129" t="n">
        <f aca="false">'🤖 GPT 4o'!F90</f>
        <v>0</v>
      </c>
      <c r="F420" s="129" t="n">
        <f aca="false">'🤖 GPT 4o'!G90</f>
        <v>0</v>
      </c>
      <c r="G420" s="129" t="n">
        <f aca="false">'🤖 GPT 4o'!H90</f>
        <v>0</v>
      </c>
      <c r="H420" s="129" t="n">
        <f aca="false">'🤖 GPT 4o'!I90</f>
        <v>0</v>
      </c>
      <c r="I420" s="129" t="n">
        <f aca="false">'🤖 GPT 4o'!J90</f>
        <v>0</v>
      </c>
    </row>
    <row r="421" customFormat="false" ht="15.75" hidden="false" customHeight="false" outlineLevel="0" collapsed="false">
      <c r="A421" s="128"/>
      <c r="B421" s="4"/>
      <c r="C421" s="6"/>
      <c r="D421" s="142"/>
      <c r="E421" s="6"/>
      <c r="F421" s="6"/>
      <c r="G421" s="6"/>
      <c r="H421" s="6"/>
      <c r="I421" s="6"/>
    </row>
    <row r="422" customFormat="false" ht="15.75" hidden="false" customHeight="false" outlineLevel="0" collapsed="false">
      <c r="A422" s="128" t="n">
        <f aca="false">'🤖 GPT 4o'!$A$92</f>
        <v>0</v>
      </c>
      <c r="B422" s="4" t="s">
        <v>22</v>
      </c>
      <c r="C422" s="129" t="str">
        <f aca="false">'🤖 GPT 4o'!C92</f>
        <v>Base</v>
      </c>
      <c r="D422" s="142" t="n">
        <f aca="false">'🤖 GPT 4o'!E92</f>
        <v>0.001901140684</v>
      </c>
      <c r="E422" s="129" t="n">
        <f aca="false">'🤖 GPT 4o'!F92</f>
        <v>0</v>
      </c>
      <c r="F422" s="129" t="n">
        <f aca="false">'🤖 GPT 4o'!G92</f>
        <v>0</v>
      </c>
      <c r="G422" s="129" t="n">
        <f aca="false">'🤖 GPT 4o'!H92</f>
        <v>0</v>
      </c>
      <c r="H422" s="129" t="n">
        <f aca="false">'🤖 GPT 4o'!I92</f>
        <v>0</v>
      </c>
      <c r="I422" s="129" t="n">
        <f aca="false">'🤖 GPT 4o'!J92</f>
        <v>0</v>
      </c>
    </row>
    <row r="423" customFormat="false" ht="15.75" hidden="false" customHeight="false" outlineLevel="0" collapsed="false">
      <c r="A423" s="128" t="n">
        <f aca="false">'🤖 GPT 4o'!$A$92</f>
        <v>0</v>
      </c>
      <c r="B423" s="4" t="s">
        <v>22</v>
      </c>
      <c r="C423" s="129" t="str">
        <f aca="false">'🤖 GPT 4o'!C93</f>
        <v>CoT</v>
      </c>
      <c r="D423" s="142" t="n">
        <f aca="false">'🤖 GPT 4o'!E93</f>
        <v>0.001901140684</v>
      </c>
      <c r="E423" s="129" t="n">
        <f aca="false">'🤖 GPT 4o'!F93</f>
        <v>0</v>
      </c>
      <c r="F423" s="129" t="n">
        <f aca="false">'🤖 GPT 4o'!G93</f>
        <v>0</v>
      </c>
      <c r="G423" s="129" t="n">
        <f aca="false">'🤖 GPT 4o'!H93</f>
        <v>0</v>
      </c>
      <c r="H423" s="129" t="n">
        <f aca="false">'🤖 GPT 4o'!I93</f>
        <v>0</v>
      </c>
      <c r="I423" s="129" t="n">
        <f aca="false">'🤖 GPT 4o'!J93</f>
        <v>0</v>
      </c>
    </row>
    <row r="424" customFormat="false" ht="15.75" hidden="false" customHeight="false" outlineLevel="0" collapsed="false">
      <c r="A424" s="128" t="n">
        <f aca="false">'🤖 GPT 4o'!$A$92</f>
        <v>0</v>
      </c>
      <c r="B424" s="4" t="s">
        <v>22</v>
      </c>
      <c r="C424" s="129" t="str">
        <f aca="false">'🤖 GPT 4o'!C94</f>
        <v>5W1H</v>
      </c>
      <c r="D424" s="142" t="n">
        <f aca="false">'🤖 GPT 4o'!E94</f>
        <v>0.001901140684</v>
      </c>
      <c r="E424" s="129" t="n">
        <f aca="false">'🤖 GPT 4o'!F94</f>
        <v>0</v>
      </c>
      <c r="F424" s="129" t="n">
        <f aca="false">'🤖 GPT 4o'!G94</f>
        <v>0</v>
      </c>
      <c r="G424" s="129" t="n">
        <f aca="false">'🤖 GPT 4o'!H94</f>
        <v>0</v>
      </c>
      <c r="H424" s="129" t="n">
        <f aca="false">'🤖 GPT 4o'!I94</f>
        <v>0</v>
      </c>
      <c r="I424" s="129" t="n">
        <f aca="false">'🤖 GPT 4o'!J94</f>
        <v>0</v>
      </c>
    </row>
    <row r="425" customFormat="false" ht="15.75" hidden="false" customHeight="false" outlineLevel="0" collapsed="false">
      <c r="A425" s="128" t="n">
        <f aca="false">'🤖 GPT 4o'!$A$92</f>
        <v>0</v>
      </c>
      <c r="B425" s="4" t="s">
        <v>22</v>
      </c>
      <c r="C425" s="129" t="str">
        <f aca="false">'🤖 GPT 4o'!C95</f>
        <v>tldr</v>
      </c>
      <c r="D425" s="142" t="n">
        <f aca="false">'🤖 GPT 4o'!E95</f>
        <v>0.001901140684</v>
      </c>
      <c r="E425" s="129" t="n">
        <f aca="false">'🤖 GPT 4o'!F95</f>
        <v>0</v>
      </c>
      <c r="F425" s="129" t="n">
        <f aca="false">'🤖 GPT 4o'!G95</f>
        <v>0</v>
      </c>
      <c r="G425" s="129" t="n">
        <f aca="false">'🤖 GPT 4o'!H95</f>
        <v>0</v>
      </c>
      <c r="H425" s="129" t="n">
        <f aca="false">'🤖 GPT 4o'!I95</f>
        <v>0</v>
      </c>
      <c r="I425" s="129" t="n">
        <f aca="false">'🤖 GPT 4o'!J95</f>
        <v>0</v>
      </c>
    </row>
    <row r="426" customFormat="false" ht="15.75" hidden="false" customHeight="false" outlineLevel="0" collapsed="false">
      <c r="A426" s="128"/>
      <c r="B426" s="4"/>
      <c r="C426" s="6"/>
      <c r="D426" s="142"/>
      <c r="E426" s="6"/>
      <c r="F426" s="6"/>
      <c r="G426" s="6"/>
      <c r="H426" s="6"/>
      <c r="I426" s="6"/>
    </row>
    <row r="427" customFormat="false" ht="15.75" hidden="false" customHeight="false" outlineLevel="0" collapsed="false">
      <c r="A427" s="128" t="n">
        <f aca="false">'🤖 GPT 4o'!$A$97</f>
        <v>0</v>
      </c>
      <c r="B427" s="4" t="s">
        <v>22</v>
      </c>
      <c r="C427" s="129" t="str">
        <f aca="false">'🤖 GPT 4o'!C97</f>
        <v>Base</v>
      </c>
      <c r="D427" s="142" t="n">
        <f aca="false">'🤖 GPT 4o'!E97</f>
        <v>0.001901140684</v>
      </c>
      <c r="E427" s="129" t="n">
        <f aca="false">'🤖 GPT 4o'!F97</f>
        <v>0</v>
      </c>
      <c r="F427" s="129" t="n">
        <f aca="false">'🤖 GPT 4o'!G97</f>
        <v>0</v>
      </c>
      <c r="G427" s="129" t="n">
        <f aca="false">'🤖 GPT 4o'!H97</f>
        <v>0</v>
      </c>
      <c r="H427" s="129" t="n">
        <f aca="false">'🤖 GPT 4o'!I97</f>
        <v>0</v>
      </c>
      <c r="I427" s="129" t="n">
        <f aca="false">'🤖 GPT 4o'!J97</f>
        <v>0</v>
      </c>
    </row>
    <row r="428" customFormat="false" ht="15.75" hidden="false" customHeight="false" outlineLevel="0" collapsed="false">
      <c r="A428" s="128" t="n">
        <f aca="false">'🤖 GPT 4o'!$A$97</f>
        <v>0</v>
      </c>
      <c r="B428" s="4" t="s">
        <v>22</v>
      </c>
      <c r="C428" s="129" t="str">
        <f aca="false">'🤖 GPT 4o'!C98</f>
        <v>CoT</v>
      </c>
      <c r="D428" s="142" t="n">
        <f aca="false">'🤖 GPT 4o'!E98</f>
        <v>0.001901140684</v>
      </c>
      <c r="E428" s="129" t="n">
        <f aca="false">'🤖 GPT 4o'!F98</f>
        <v>0</v>
      </c>
      <c r="F428" s="129" t="n">
        <f aca="false">'🤖 GPT 4o'!G98</f>
        <v>0</v>
      </c>
      <c r="G428" s="129" t="n">
        <f aca="false">'🤖 GPT 4o'!H98</f>
        <v>0</v>
      </c>
      <c r="H428" s="129" t="n">
        <f aca="false">'🤖 GPT 4o'!I98</f>
        <v>0</v>
      </c>
      <c r="I428" s="129" t="n">
        <f aca="false">'🤖 GPT 4o'!J98</f>
        <v>0</v>
      </c>
    </row>
    <row r="429" customFormat="false" ht="15.75" hidden="false" customHeight="false" outlineLevel="0" collapsed="false">
      <c r="A429" s="128" t="n">
        <f aca="false">'🤖 GPT 4o'!$A$97</f>
        <v>0</v>
      </c>
      <c r="B429" s="4" t="s">
        <v>22</v>
      </c>
      <c r="C429" s="129" t="str">
        <f aca="false">'🤖 GPT 4o'!C99</f>
        <v>5W1H</v>
      </c>
      <c r="D429" s="142" t="n">
        <f aca="false">'🤖 GPT 4o'!E99</f>
        <v>0.001901140684</v>
      </c>
      <c r="E429" s="129" t="n">
        <f aca="false">'🤖 GPT 4o'!F99</f>
        <v>0</v>
      </c>
      <c r="F429" s="129" t="n">
        <f aca="false">'🤖 GPT 4o'!G99</f>
        <v>0</v>
      </c>
      <c r="G429" s="129" t="n">
        <f aca="false">'🤖 GPT 4o'!H99</f>
        <v>0</v>
      </c>
      <c r="H429" s="129" t="n">
        <f aca="false">'🤖 GPT 4o'!I99</f>
        <v>0</v>
      </c>
      <c r="I429" s="129" t="n">
        <f aca="false">'🤖 GPT 4o'!J99</f>
        <v>0</v>
      </c>
    </row>
    <row r="430" customFormat="false" ht="15.75" hidden="false" customHeight="false" outlineLevel="0" collapsed="false">
      <c r="A430" s="128" t="n">
        <f aca="false">'🤖 GPT 4o'!$A$97</f>
        <v>0</v>
      </c>
      <c r="B430" s="4" t="s">
        <v>22</v>
      </c>
      <c r="C430" s="129" t="str">
        <f aca="false">'🤖 GPT 4o'!C100</f>
        <v>tldr</v>
      </c>
      <c r="D430" s="142" t="n">
        <f aca="false">'🤖 GPT 4o'!E100</f>
        <v>0.001901140684</v>
      </c>
      <c r="E430" s="129" t="n">
        <f aca="false">'🤖 GPT 4o'!F100</f>
        <v>0</v>
      </c>
      <c r="F430" s="129" t="n">
        <f aca="false">'🤖 GPT 4o'!G100</f>
        <v>0</v>
      </c>
      <c r="G430" s="129" t="n">
        <f aca="false">'🤖 GPT 4o'!H100</f>
        <v>0</v>
      </c>
      <c r="H430" s="129" t="n">
        <f aca="false">'🤖 GPT 4o'!I100</f>
        <v>0</v>
      </c>
      <c r="I430" s="129" t="n">
        <f aca="false">'🤖 GPT 4o'!J100</f>
        <v>0</v>
      </c>
    </row>
    <row r="431" customFormat="false" ht="15.75" hidden="false" customHeight="false" outlineLevel="0" collapsed="false">
      <c r="A431" s="128"/>
      <c r="B431" s="4"/>
      <c r="C431" s="6"/>
      <c r="D431" s="142"/>
      <c r="E431" s="6"/>
      <c r="F431" s="6"/>
      <c r="G431" s="6"/>
      <c r="H431" s="6"/>
      <c r="I431" s="6"/>
    </row>
    <row r="432" customFormat="false" ht="15.75" hidden="false" customHeight="false" outlineLevel="0" collapsed="false">
      <c r="A432" s="128" t="n">
        <f aca="false">'🤖 GPT 4o'!$A$102</f>
        <v>0</v>
      </c>
      <c r="B432" s="4" t="s">
        <v>22</v>
      </c>
      <c r="C432" s="129" t="str">
        <f aca="false">'🤖 GPT 4o'!C102</f>
        <v>Base</v>
      </c>
      <c r="D432" s="142" t="n">
        <f aca="false">'🤖 GPT 4o'!E102</f>
        <v>0.001901140684</v>
      </c>
      <c r="E432" s="129" t="n">
        <f aca="false">'🤖 GPT 4o'!F102</f>
        <v>0</v>
      </c>
      <c r="F432" s="129" t="n">
        <f aca="false">'🤖 GPT 4o'!G102</f>
        <v>0</v>
      </c>
      <c r="G432" s="129" t="n">
        <f aca="false">'🤖 GPT 4o'!H102</f>
        <v>0</v>
      </c>
      <c r="H432" s="129" t="n">
        <f aca="false">'🤖 GPT 4o'!I102</f>
        <v>0</v>
      </c>
      <c r="I432" s="129" t="n">
        <f aca="false">'🤖 GPT 4o'!J102</f>
        <v>0</v>
      </c>
    </row>
    <row r="433" customFormat="false" ht="15.75" hidden="false" customHeight="false" outlineLevel="0" collapsed="false">
      <c r="A433" s="128" t="n">
        <f aca="false">'🤖 GPT 4o'!$A$102</f>
        <v>0</v>
      </c>
      <c r="B433" s="4" t="s">
        <v>22</v>
      </c>
      <c r="C433" s="129" t="str">
        <f aca="false">'🤖 GPT 4o'!C103</f>
        <v>CoT</v>
      </c>
      <c r="D433" s="142" t="n">
        <f aca="false">'🤖 GPT 4o'!E103</f>
        <v>0.001901140684</v>
      </c>
      <c r="E433" s="129" t="n">
        <f aca="false">'🤖 GPT 4o'!F103</f>
        <v>0</v>
      </c>
      <c r="F433" s="129" t="n">
        <f aca="false">'🤖 GPT 4o'!G103</f>
        <v>0</v>
      </c>
      <c r="G433" s="129" t="n">
        <f aca="false">'🤖 GPT 4o'!H103</f>
        <v>0</v>
      </c>
      <c r="H433" s="129" t="n">
        <f aca="false">'🤖 GPT 4o'!I103</f>
        <v>0</v>
      </c>
      <c r="I433" s="129" t="n">
        <f aca="false">'🤖 GPT 4o'!J103</f>
        <v>0</v>
      </c>
    </row>
    <row r="434" customFormat="false" ht="15.75" hidden="false" customHeight="false" outlineLevel="0" collapsed="false">
      <c r="A434" s="128" t="n">
        <f aca="false">'🤖 GPT 4o'!$A$102</f>
        <v>0</v>
      </c>
      <c r="B434" s="4" t="s">
        <v>22</v>
      </c>
      <c r="C434" s="129" t="str">
        <f aca="false">'🤖 GPT 4o'!C104</f>
        <v>5W1H</v>
      </c>
      <c r="D434" s="142" t="n">
        <f aca="false">'🤖 GPT 4o'!E104</f>
        <v>0.001901140684</v>
      </c>
      <c r="E434" s="129" t="n">
        <f aca="false">'🤖 GPT 4o'!F104</f>
        <v>0</v>
      </c>
      <c r="F434" s="129" t="n">
        <f aca="false">'🤖 GPT 4o'!G104</f>
        <v>0</v>
      </c>
      <c r="G434" s="129" t="n">
        <f aca="false">'🤖 GPT 4o'!H104</f>
        <v>0</v>
      </c>
      <c r="H434" s="129" t="n">
        <f aca="false">'🤖 GPT 4o'!I104</f>
        <v>0</v>
      </c>
      <c r="I434" s="129" t="n">
        <f aca="false">'🤖 GPT 4o'!J104</f>
        <v>0</v>
      </c>
    </row>
    <row r="435" customFormat="false" ht="15.75" hidden="false" customHeight="false" outlineLevel="0" collapsed="false">
      <c r="A435" s="128" t="n">
        <f aca="false">'🤖 GPT 4o'!$A$102</f>
        <v>0</v>
      </c>
      <c r="B435" s="4" t="s">
        <v>22</v>
      </c>
      <c r="C435" s="129" t="str">
        <f aca="false">'🤖 GPT 4o'!C105</f>
        <v>tldr</v>
      </c>
      <c r="D435" s="142" t="n">
        <f aca="false">'🤖 GPT 4o'!E105</f>
        <v>0.001901140684</v>
      </c>
      <c r="E435" s="129" t="n">
        <f aca="false">'🤖 GPT 4o'!F105</f>
        <v>0</v>
      </c>
      <c r="F435" s="129" t="n">
        <f aca="false">'🤖 GPT 4o'!G105</f>
        <v>0</v>
      </c>
      <c r="G435" s="129" t="n">
        <f aca="false">'🤖 GPT 4o'!H105</f>
        <v>0</v>
      </c>
      <c r="H435" s="129" t="n">
        <f aca="false">'🤖 GPT 4o'!I105</f>
        <v>0</v>
      </c>
      <c r="I435" s="129" t="n">
        <f aca="false">'🤖 GPT 4o'!J105</f>
        <v>0</v>
      </c>
    </row>
    <row r="436" customFormat="false" ht="15.75" hidden="false" customHeight="false" outlineLevel="0" collapsed="false">
      <c r="A436" s="128"/>
      <c r="B436" s="4"/>
      <c r="C436" s="6"/>
      <c r="D436" s="142"/>
      <c r="E436" s="6"/>
      <c r="F436" s="6"/>
      <c r="G436" s="6"/>
      <c r="H436" s="6"/>
      <c r="I436" s="6"/>
    </row>
    <row r="437" customFormat="false" ht="15.75" hidden="false" customHeight="false" outlineLevel="0" collapsed="false">
      <c r="A437" s="128" t="n">
        <f aca="false">'🤖 GPT 4o'!$A$107</f>
        <v>0</v>
      </c>
      <c r="B437" s="4" t="s">
        <v>22</v>
      </c>
      <c r="C437" s="129" t="str">
        <f aca="false">'🤖 GPT 4o'!C107</f>
        <v>Base</v>
      </c>
      <c r="D437" s="142" t="n">
        <f aca="false">'🤖 GPT 4o'!E107</f>
        <v>0.001901140684</v>
      </c>
      <c r="E437" s="129" t="n">
        <f aca="false">'🤖 GPT 4o'!F107</f>
        <v>0</v>
      </c>
      <c r="F437" s="129" t="n">
        <f aca="false">'🤖 GPT 4o'!G107</f>
        <v>0</v>
      </c>
      <c r="G437" s="129" t="n">
        <f aca="false">'🤖 GPT 4o'!H107</f>
        <v>0</v>
      </c>
      <c r="H437" s="129" t="n">
        <f aca="false">'🤖 GPT 4o'!I107</f>
        <v>0</v>
      </c>
      <c r="I437" s="129" t="n">
        <f aca="false">'🤖 GPT 4o'!J107</f>
        <v>0</v>
      </c>
    </row>
    <row r="438" customFormat="false" ht="15.75" hidden="false" customHeight="false" outlineLevel="0" collapsed="false">
      <c r="A438" s="128" t="n">
        <f aca="false">'🤖 GPT 4o'!$A$107</f>
        <v>0</v>
      </c>
      <c r="B438" s="4" t="s">
        <v>22</v>
      </c>
      <c r="C438" s="129" t="str">
        <f aca="false">'🤖 GPT 4o'!C108</f>
        <v>CoT</v>
      </c>
      <c r="D438" s="142" t="n">
        <f aca="false">'🤖 GPT 4o'!E108</f>
        <v>0.001901140684</v>
      </c>
      <c r="E438" s="129" t="n">
        <f aca="false">'🤖 GPT 4o'!F108</f>
        <v>0</v>
      </c>
      <c r="F438" s="129" t="n">
        <f aca="false">'🤖 GPT 4o'!G108</f>
        <v>0</v>
      </c>
      <c r="G438" s="129" t="n">
        <f aca="false">'🤖 GPT 4o'!H108</f>
        <v>0</v>
      </c>
      <c r="H438" s="129" t="n">
        <f aca="false">'🤖 GPT 4o'!I108</f>
        <v>0</v>
      </c>
      <c r="I438" s="129" t="n">
        <f aca="false">'🤖 GPT 4o'!J108</f>
        <v>0</v>
      </c>
    </row>
    <row r="439" customFormat="false" ht="15.75" hidden="false" customHeight="false" outlineLevel="0" collapsed="false">
      <c r="A439" s="128" t="n">
        <f aca="false">'🤖 GPT 4o'!$A$107</f>
        <v>0</v>
      </c>
      <c r="B439" s="4" t="s">
        <v>22</v>
      </c>
      <c r="C439" s="129" t="str">
        <f aca="false">'🤖 GPT 4o'!C109</f>
        <v>5W1H</v>
      </c>
      <c r="D439" s="142" t="n">
        <f aca="false">'🤖 GPT 4o'!E109</f>
        <v>0.001901140684</v>
      </c>
      <c r="E439" s="129" t="n">
        <f aca="false">'🤖 GPT 4o'!F109</f>
        <v>0</v>
      </c>
      <c r="F439" s="129" t="n">
        <f aca="false">'🤖 GPT 4o'!G109</f>
        <v>0</v>
      </c>
      <c r="G439" s="129" t="n">
        <f aca="false">'🤖 GPT 4o'!H109</f>
        <v>0</v>
      </c>
      <c r="H439" s="129" t="n">
        <f aca="false">'🤖 GPT 4o'!I109</f>
        <v>0</v>
      </c>
      <c r="I439" s="129" t="n">
        <f aca="false">'🤖 GPT 4o'!J109</f>
        <v>0</v>
      </c>
    </row>
    <row r="440" customFormat="false" ht="15.75" hidden="false" customHeight="false" outlineLevel="0" collapsed="false">
      <c r="A440" s="128" t="n">
        <f aca="false">'🤖 GPT 4o'!$A$107</f>
        <v>0</v>
      </c>
      <c r="B440" s="4" t="s">
        <v>22</v>
      </c>
      <c r="C440" s="129" t="str">
        <f aca="false">'🤖 GPT 4o'!C110</f>
        <v>tldr</v>
      </c>
      <c r="D440" s="142" t="n">
        <f aca="false">'🤖 GPT 4o'!E110</f>
        <v>0.001901140684</v>
      </c>
      <c r="E440" s="129" t="n">
        <f aca="false">'🤖 GPT 4o'!F110</f>
        <v>0</v>
      </c>
      <c r="F440" s="129" t="n">
        <f aca="false">'🤖 GPT 4o'!G110</f>
        <v>0</v>
      </c>
      <c r="G440" s="129" t="n">
        <f aca="false">'🤖 GPT 4o'!H110</f>
        <v>0</v>
      </c>
      <c r="H440" s="129" t="n">
        <f aca="false">'🤖 GPT 4o'!I110</f>
        <v>0</v>
      </c>
      <c r="I440" s="129" t="n">
        <f aca="false">'🤖 GPT 4o'!J110</f>
        <v>0</v>
      </c>
    </row>
    <row r="441" customFormat="false" ht="15.75" hidden="false" customHeight="false" outlineLevel="0" collapsed="false">
      <c r="A441" s="128"/>
      <c r="B441" s="4"/>
      <c r="C441" s="6"/>
      <c r="D441" s="142"/>
      <c r="E441" s="6"/>
      <c r="F441" s="6"/>
      <c r="G441" s="6"/>
      <c r="H441" s="6"/>
      <c r="I441" s="6"/>
    </row>
    <row r="442" customFormat="false" ht="15.75" hidden="false" customHeight="false" outlineLevel="0" collapsed="false">
      <c r="A442" s="128" t="n">
        <f aca="false">'🤖 GPT 4o'!$A$112</f>
        <v>0</v>
      </c>
      <c r="B442" s="4" t="s">
        <v>22</v>
      </c>
      <c r="C442" s="129" t="str">
        <f aca="false">'🤖 GPT 4o'!C112</f>
        <v>Base</v>
      </c>
      <c r="D442" s="142" t="n">
        <f aca="false">'🤖 GPT 4o'!E112</f>
        <v>0.001901140684</v>
      </c>
      <c r="E442" s="129" t="n">
        <f aca="false">'🤖 GPT 4o'!F112</f>
        <v>0</v>
      </c>
      <c r="F442" s="129" t="n">
        <f aca="false">'🤖 GPT 4o'!G112</f>
        <v>0</v>
      </c>
      <c r="G442" s="129" t="n">
        <f aca="false">'🤖 GPT 4o'!H112</f>
        <v>0</v>
      </c>
      <c r="H442" s="129" t="n">
        <f aca="false">'🤖 GPT 4o'!I112</f>
        <v>0</v>
      </c>
      <c r="I442" s="129" t="n">
        <f aca="false">'🤖 GPT 4o'!J112</f>
        <v>0</v>
      </c>
    </row>
    <row r="443" customFormat="false" ht="15.75" hidden="false" customHeight="false" outlineLevel="0" collapsed="false">
      <c r="A443" s="128" t="n">
        <f aca="false">'🤖 GPT 4o'!$A$112</f>
        <v>0</v>
      </c>
      <c r="B443" s="4" t="s">
        <v>22</v>
      </c>
      <c r="C443" s="129" t="str">
        <f aca="false">'🤖 GPT 4o'!C113</f>
        <v>CoT</v>
      </c>
      <c r="D443" s="142" t="n">
        <f aca="false">'🤖 GPT 4o'!E113</f>
        <v>0.001901140684</v>
      </c>
      <c r="E443" s="129" t="n">
        <f aca="false">'🤖 GPT 4o'!F113</f>
        <v>0</v>
      </c>
      <c r="F443" s="129" t="n">
        <f aca="false">'🤖 GPT 4o'!G113</f>
        <v>0</v>
      </c>
      <c r="G443" s="129" t="n">
        <f aca="false">'🤖 GPT 4o'!H113</f>
        <v>0</v>
      </c>
      <c r="H443" s="129" t="n">
        <f aca="false">'🤖 GPT 4o'!I113</f>
        <v>0</v>
      </c>
      <c r="I443" s="129" t="n">
        <f aca="false">'🤖 GPT 4o'!J113</f>
        <v>0</v>
      </c>
    </row>
    <row r="444" customFormat="false" ht="15.75" hidden="false" customHeight="false" outlineLevel="0" collapsed="false">
      <c r="A444" s="128" t="n">
        <f aca="false">'🤖 GPT 4o'!$A$112</f>
        <v>0</v>
      </c>
      <c r="B444" s="4" t="s">
        <v>22</v>
      </c>
      <c r="C444" s="129" t="str">
        <f aca="false">'🤖 GPT 4o'!C114</f>
        <v>5W1H</v>
      </c>
      <c r="D444" s="142" t="n">
        <f aca="false">'🤖 GPT 4o'!E114</f>
        <v>0.001901140684</v>
      </c>
      <c r="E444" s="129" t="n">
        <f aca="false">'🤖 GPT 4o'!F114</f>
        <v>0</v>
      </c>
      <c r="F444" s="129" t="n">
        <f aca="false">'🤖 GPT 4o'!G114</f>
        <v>0</v>
      </c>
      <c r="G444" s="129" t="n">
        <f aca="false">'🤖 GPT 4o'!H114</f>
        <v>0</v>
      </c>
      <c r="H444" s="129" t="n">
        <f aca="false">'🤖 GPT 4o'!I114</f>
        <v>0</v>
      </c>
      <c r="I444" s="129" t="n">
        <f aca="false">'🤖 GPT 4o'!J114</f>
        <v>0</v>
      </c>
    </row>
    <row r="445" customFormat="false" ht="15.75" hidden="false" customHeight="false" outlineLevel="0" collapsed="false">
      <c r="A445" s="128" t="n">
        <f aca="false">'🤖 GPT 4o'!$A$112</f>
        <v>0</v>
      </c>
      <c r="B445" s="4" t="s">
        <v>22</v>
      </c>
      <c r="C445" s="129" t="str">
        <f aca="false">'🤖 GPT 4o'!C115</f>
        <v>tldr</v>
      </c>
      <c r="D445" s="142" t="n">
        <f aca="false">'🤖 GPT 4o'!E115</f>
        <v>0.001901140684</v>
      </c>
      <c r="E445" s="129" t="n">
        <f aca="false">'🤖 GPT 4o'!F115</f>
        <v>0</v>
      </c>
      <c r="F445" s="129" t="n">
        <f aca="false">'🤖 GPT 4o'!G115</f>
        <v>0</v>
      </c>
      <c r="G445" s="129" t="n">
        <f aca="false">'🤖 GPT 4o'!H115</f>
        <v>0</v>
      </c>
      <c r="H445" s="129" t="n">
        <f aca="false">'🤖 GPT 4o'!I115</f>
        <v>0</v>
      </c>
      <c r="I445" s="129" t="n">
        <f aca="false">'🤖 GPT 4o'!J115</f>
        <v>0</v>
      </c>
    </row>
    <row r="446" customFormat="false" ht="15.75" hidden="false" customHeight="false" outlineLevel="0" collapsed="false">
      <c r="A446" s="128"/>
      <c r="B446" s="4"/>
      <c r="C446" s="6"/>
      <c r="D446" s="142"/>
      <c r="E446" s="6"/>
      <c r="F446" s="6"/>
      <c r="G446" s="6"/>
      <c r="H446" s="6"/>
      <c r="I446" s="6"/>
    </row>
    <row r="447" customFormat="false" ht="15.75" hidden="false" customHeight="false" outlineLevel="0" collapsed="false">
      <c r="A447" s="128" t="n">
        <f aca="false">'🤖 GPT 4o'!$A$117</f>
        <v>0</v>
      </c>
      <c r="B447" s="4" t="s">
        <v>22</v>
      </c>
      <c r="C447" s="129" t="str">
        <f aca="false">'🤖 GPT 4o'!C117</f>
        <v>Base</v>
      </c>
      <c r="D447" s="142" t="n">
        <f aca="false">'🤖 GPT 4o'!E117</f>
        <v>0.001901140684</v>
      </c>
      <c r="E447" s="129" t="n">
        <f aca="false">'🤖 GPT 4o'!F117</f>
        <v>0</v>
      </c>
      <c r="F447" s="129" t="n">
        <f aca="false">'🤖 GPT 4o'!G117</f>
        <v>0</v>
      </c>
      <c r="G447" s="129" t="n">
        <f aca="false">'🤖 GPT 4o'!H117</f>
        <v>0</v>
      </c>
      <c r="H447" s="129" t="n">
        <f aca="false">'🤖 GPT 4o'!I117</f>
        <v>0</v>
      </c>
      <c r="I447" s="129" t="n">
        <f aca="false">'🤖 GPT 4o'!J117</f>
        <v>0</v>
      </c>
    </row>
    <row r="448" customFormat="false" ht="15.75" hidden="false" customHeight="false" outlineLevel="0" collapsed="false">
      <c r="A448" s="128" t="n">
        <f aca="false">'🤖 GPT 4o'!$A$117</f>
        <v>0</v>
      </c>
      <c r="B448" s="4" t="s">
        <v>22</v>
      </c>
      <c r="C448" s="129" t="str">
        <f aca="false">'🤖 GPT 4o'!C118</f>
        <v>CoT</v>
      </c>
      <c r="D448" s="142" t="n">
        <f aca="false">'🤖 GPT 4o'!E118</f>
        <v>0.001901140684</v>
      </c>
      <c r="E448" s="129" t="n">
        <f aca="false">'🤖 GPT 4o'!F118</f>
        <v>0</v>
      </c>
      <c r="F448" s="129" t="n">
        <f aca="false">'🤖 GPT 4o'!G118</f>
        <v>0</v>
      </c>
      <c r="G448" s="129" t="n">
        <f aca="false">'🤖 GPT 4o'!H118</f>
        <v>0</v>
      </c>
      <c r="H448" s="129" t="n">
        <f aca="false">'🤖 GPT 4o'!I118</f>
        <v>0</v>
      </c>
      <c r="I448" s="129" t="n">
        <f aca="false">'🤖 GPT 4o'!J118</f>
        <v>0</v>
      </c>
    </row>
    <row r="449" customFormat="false" ht="15.75" hidden="false" customHeight="false" outlineLevel="0" collapsed="false">
      <c r="A449" s="128" t="n">
        <f aca="false">'🤖 GPT 4o'!$A$117</f>
        <v>0</v>
      </c>
      <c r="B449" s="4" t="s">
        <v>22</v>
      </c>
      <c r="C449" s="129" t="str">
        <f aca="false">'🤖 GPT 4o'!C119</f>
        <v>5W1H</v>
      </c>
      <c r="D449" s="142" t="n">
        <f aca="false">'🤖 GPT 4o'!E119</f>
        <v>0.001901140684</v>
      </c>
      <c r="E449" s="129" t="n">
        <f aca="false">'🤖 GPT 4o'!F119</f>
        <v>0</v>
      </c>
      <c r="F449" s="129" t="n">
        <f aca="false">'🤖 GPT 4o'!G119</f>
        <v>0</v>
      </c>
      <c r="G449" s="129" t="n">
        <f aca="false">'🤖 GPT 4o'!H119</f>
        <v>0</v>
      </c>
      <c r="H449" s="129" t="n">
        <f aca="false">'🤖 GPT 4o'!I119</f>
        <v>0</v>
      </c>
      <c r="I449" s="129" t="n">
        <f aca="false">'🤖 GPT 4o'!J119</f>
        <v>0</v>
      </c>
    </row>
    <row r="450" customFormat="false" ht="15.75" hidden="false" customHeight="false" outlineLevel="0" collapsed="false">
      <c r="A450" s="128" t="n">
        <f aca="false">'🤖 GPT 4o'!$A$117</f>
        <v>0</v>
      </c>
      <c r="B450" s="4" t="s">
        <v>22</v>
      </c>
      <c r="C450" s="129" t="str">
        <f aca="false">'🤖 GPT 4o'!C120</f>
        <v>tldr</v>
      </c>
      <c r="D450" s="142" t="n">
        <f aca="false">'🤖 GPT 4o'!E120</f>
        <v>0.001901140684</v>
      </c>
      <c r="E450" s="129" t="n">
        <f aca="false">'🤖 GPT 4o'!F120</f>
        <v>0</v>
      </c>
      <c r="F450" s="129" t="n">
        <f aca="false">'🤖 GPT 4o'!G120</f>
        <v>0</v>
      </c>
      <c r="G450" s="129" t="n">
        <f aca="false">'🤖 GPT 4o'!H120</f>
        <v>0</v>
      </c>
      <c r="H450" s="129" t="n">
        <f aca="false">'🤖 GPT 4o'!I120</f>
        <v>0</v>
      </c>
      <c r="I450" s="129" t="n">
        <f aca="false">'🤖 GPT 4o'!J120</f>
        <v>0</v>
      </c>
    </row>
    <row r="451" customFormat="false" ht="15.75" hidden="false" customHeight="false" outlineLevel="0" collapsed="false">
      <c r="A451" s="128"/>
      <c r="B451" s="4"/>
      <c r="C451" s="6"/>
      <c r="D451" s="142"/>
      <c r="E451" s="6"/>
      <c r="F451" s="6"/>
      <c r="G451" s="6"/>
      <c r="H451" s="6"/>
      <c r="I451" s="6"/>
    </row>
    <row r="452" customFormat="false" ht="15.75" hidden="false" customHeight="false" outlineLevel="0" collapsed="false">
      <c r="A452" s="128" t="n">
        <f aca="false">'🤖 GPT 4o'!$A$122</f>
        <v>0</v>
      </c>
      <c r="B452" s="4" t="s">
        <v>22</v>
      </c>
      <c r="C452" s="129" t="str">
        <f aca="false">'🤖 GPT 4o'!C122</f>
        <v>Base</v>
      </c>
      <c r="D452" s="142" t="n">
        <f aca="false">'🤖 GPT 4o'!E122</f>
        <v>0.001901140684</v>
      </c>
      <c r="E452" s="129" t="n">
        <f aca="false">'🤖 GPT 4o'!F122</f>
        <v>0</v>
      </c>
      <c r="F452" s="129" t="n">
        <f aca="false">'🤖 GPT 4o'!G122</f>
        <v>0</v>
      </c>
      <c r="G452" s="129" t="n">
        <f aca="false">'🤖 GPT 4o'!H122</f>
        <v>0</v>
      </c>
      <c r="H452" s="129" t="n">
        <f aca="false">'🤖 GPT 4o'!I122</f>
        <v>0</v>
      </c>
      <c r="I452" s="129" t="n">
        <f aca="false">'🤖 GPT 4o'!J122</f>
        <v>0</v>
      </c>
    </row>
    <row r="453" customFormat="false" ht="15.75" hidden="false" customHeight="false" outlineLevel="0" collapsed="false">
      <c r="A453" s="128" t="n">
        <f aca="false">'🤖 GPT 4o'!$A$122</f>
        <v>0</v>
      </c>
      <c r="B453" s="4" t="s">
        <v>22</v>
      </c>
      <c r="C453" s="129" t="str">
        <f aca="false">'🤖 GPT 4o'!C123</f>
        <v>CoT</v>
      </c>
      <c r="D453" s="142" t="n">
        <f aca="false">'🤖 GPT 4o'!E123</f>
        <v>0.001901140684</v>
      </c>
      <c r="E453" s="129" t="n">
        <f aca="false">'🤖 GPT 4o'!F123</f>
        <v>0</v>
      </c>
      <c r="F453" s="129" t="n">
        <f aca="false">'🤖 GPT 4o'!G123</f>
        <v>0</v>
      </c>
      <c r="G453" s="129" t="n">
        <f aca="false">'🤖 GPT 4o'!H123</f>
        <v>0</v>
      </c>
      <c r="H453" s="129" t="n">
        <f aca="false">'🤖 GPT 4o'!I123</f>
        <v>0</v>
      </c>
      <c r="I453" s="129" t="n">
        <f aca="false">'🤖 GPT 4o'!J123</f>
        <v>0</v>
      </c>
    </row>
    <row r="454" customFormat="false" ht="15.75" hidden="false" customHeight="false" outlineLevel="0" collapsed="false">
      <c r="A454" s="128" t="n">
        <f aca="false">'🤖 GPT 4o'!$A$122</f>
        <v>0</v>
      </c>
      <c r="B454" s="4" t="s">
        <v>22</v>
      </c>
      <c r="C454" s="129" t="str">
        <f aca="false">'🤖 GPT 4o'!C124</f>
        <v>5W1H</v>
      </c>
      <c r="D454" s="142" t="n">
        <f aca="false">'🤖 GPT 4o'!E124</f>
        <v>0.001901140684</v>
      </c>
      <c r="E454" s="129" t="n">
        <f aca="false">'🤖 GPT 4o'!F124</f>
        <v>0</v>
      </c>
      <c r="F454" s="129" t="n">
        <f aca="false">'🤖 GPT 4o'!G124</f>
        <v>0</v>
      </c>
      <c r="G454" s="129" t="n">
        <f aca="false">'🤖 GPT 4o'!H124</f>
        <v>0</v>
      </c>
      <c r="H454" s="129" t="n">
        <f aca="false">'🤖 GPT 4o'!I124</f>
        <v>0</v>
      </c>
      <c r="I454" s="129" t="n">
        <f aca="false">'🤖 GPT 4o'!J124</f>
        <v>0</v>
      </c>
    </row>
    <row r="455" customFormat="false" ht="15.75" hidden="false" customHeight="false" outlineLevel="0" collapsed="false">
      <c r="A455" s="128" t="n">
        <f aca="false">'🤖 GPT 4o'!$A$122</f>
        <v>0</v>
      </c>
      <c r="B455" s="4" t="s">
        <v>22</v>
      </c>
      <c r="C455" s="129" t="str">
        <f aca="false">'🤖 GPT 4o'!C125</f>
        <v>tldr</v>
      </c>
      <c r="D455" s="142" t="n">
        <f aca="false">'🤖 GPT 4o'!E125</f>
        <v>0.001901140684</v>
      </c>
      <c r="E455" s="129" t="n">
        <f aca="false">'🤖 GPT 4o'!F125</f>
        <v>0</v>
      </c>
      <c r="F455" s="129" t="n">
        <f aca="false">'🤖 GPT 4o'!G125</f>
        <v>0</v>
      </c>
      <c r="G455" s="129" t="n">
        <f aca="false">'🤖 GPT 4o'!H125</f>
        <v>0</v>
      </c>
      <c r="H455" s="129" t="n">
        <f aca="false">'🤖 GPT 4o'!I125</f>
        <v>0</v>
      </c>
      <c r="I455" s="129" t="n">
        <f aca="false">'🤖 GPT 4o'!J125</f>
        <v>0</v>
      </c>
    </row>
    <row r="456" customFormat="false" ht="15.75" hidden="false" customHeight="false" outlineLevel="0" collapsed="false">
      <c r="A456" s="128"/>
      <c r="B456" s="4"/>
      <c r="C456" s="6"/>
      <c r="D456" s="142"/>
      <c r="E456" s="6"/>
      <c r="F456" s="6"/>
      <c r="G456" s="6"/>
      <c r="H456" s="6"/>
      <c r="I456" s="6"/>
    </row>
    <row r="457" customFormat="false" ht="15.75" hidden="false" customHeight="false" outlineLevel="0" collapsed="false">
      <c r="A457" s="128" t="n">
        <f aca="false">'🤖 GPT 4o'!$A$127</f>
        <v>0</v>
      </c>
      <c r="B457" s="4" t="s">
        <v>22</v>
      </c>
      <c r="C457" s="129" t="str">
        <f aca="false">'🤖 GPT 4o'!C127</f>
        <v>Base</v>
      </c>
      <c r="D457" s="142" t="n">
        <f aca="false">'🤖 GPT 4o'!E127</f>
        <v>0.001901140684</v>
      </c>
      <c r="E457" s="129" t="n">
        <f aca="false">'🤖 GPT 4o'!F127</f>
        <v>0</v>
      </c>
      <c r="F457" s="129" t="n">
        <f aca="false">'🤖 GPT 4o'!G127</f>
        <v>0</v>
      </c>
      <c r="G457" s="129" t="n">
        <f aca="false">'🤖 GPT 4o'!H127</f>
        <v>0</v>
      </c>
      <c r="H457" s="129" t="n">
        <f aca="false">'🤖 GPT 4o'!I127</f>
        <v>0</v>
      </c>
      <c r="I457" s="129" t="n">
        <f aca="false">'🤖 GPT 4o'!J127</f>
        <v>0</v>
      </c>
    </row>
    <row r="458" customFormat="false" ht="15.75" hidden="false" customHeight="false" outlineLevel="0" collapsed="false">
      <c r="A458" s="128" t="n">
        <f aca="false">'🤖 GPT 4o'!$A$127</f>
        <v>0</v>
      </c>
      <c r="B458" s="4" t="s">
        <v>22</v>
      </c>
      <c r="C458" s="129" t="str">
        <f aca="false">'🤖 GPT 4o'!C128</f>
        <v>CoT</v>
      </c>
      <c r="D458" s="142" t="n">
        <f aca="false">'🤖 GPT 4o'!E128</f>
        <v>0.001901140684</v>
      </c>
      <c r="E458" s="129" t="n">
        <f aca="false">'🤖 GPT 4o'!F128</f>
        <v>0</v>
      </c>
      <c r="F458" s="129" t="n">
        <f aca="false">'🤖 GPT 4o'!G128</f>
        <v>0</v>
      </c>
      <c r="G458" s="129" t="n">
        <f aca="false">'🤖 GPT 4o'!H128</f>
        <v>0</v>
      </c>
      <c r="H458" s="129" t="n">
        <f aca="false">'🤖 GPT 4o'!I128</f>
        <v>0</v>
      </c>
      <c r="I458" s="129" t="n">
        <f aca="false">'🤖 GPT 4o'!J128</f>
        <v>0</v>
      </c>
    </row>
    <row r="459" customFormat="false" ht="15.75" hidden="false" customHeight="false" outlineLevel="0" collapsed="false">
      <c r="A459" s="128" t="n">
        <f aca="false">'🤖 GPT 4o'!$A$127</f>
        <v>0</v>
      </c>
      <c r="B459" s="4" t="s">
        <v>22</v>
      </c>
      <c r="C459" s="129" t="str">
        <f aca="false">'🤖 GPT 4o'!C129</f>
        <v>5W1H</v>
      </c>
      <c r="D459" s="142" t="n">
        <f aca="false">'🤖 GPT 4o'!E129</f>
        <v>0.001901140684</v>
      </c>
      <c r="E459" s="129" t="n">
        <f aca="false">'🤖 GPT 4o'!F129</f>
        <v>0</v>
      </c>
      <c r="F459" s="129" t="n">
        <f aca="false">'🤖 GPT 4o'!G129</f>
        <v>0</v>
      </c>
      <c r="G459" s="129" t="n">
        <f aca="false">'🤖 GPT 4o'!H129</f>
        <v>0</v>
      </c>
      <c r="H459" s="129" t="n">
        <f aca="false">'🤖 GPT 4o'!I129</f>
        <v>0</v>
      </c>
      <c r="I459" s="129" t="n">
        <f aca="false">'🤖 GPT 4o'!J129</f>
        <v>0</v>
      </c>
    </row>
    <row r="460" customFormat="false" ht="15.75" hidden="false" customHeight="false" outlineLevel="0" collapsed="false">
      <c r="A460" s="128" t="n">
        <f aca="false">'🤖 GPT 4o'!$A$127</f>
        <v>0</v>
      </c>
      <c r="B460" s="4" t="s">
        <v>22</v>
      </c>
      <c r="C460" s="129" t="str">
        <f aca="false">'🤖 GPT 4o'!C130</f>
        <v>tldr</v>
      </c>
      <c r="D460" s="142" t="n">
        <f aca="false">'🤖 GPT 4o'!E130</f>
        <v>0.001901140684</v>
      </c>
      <c r="E460" s="129" t="n">
        <f aca="false">'🤖 GPT 4o'!F130</f>
        <v>0</v>
      </c>
      <c r="F460" s="129" t="n">
        <f aca="false">'🤖 GPT 4o'!G130</f>
        <v>0</v>
      </c>
      <c r="G460" s="129" t="n">
        <f aca="false">'🤖 GPT 4o'!H130</f>
        <v>0</v>
      </c>
      <c r="H460" s="129" t="n">
        <f aca="false">'🤖 GPT 4o'!I130</f>
        <v>0</v>
      </c>
      <c r="I460" s="129" t="n">
        <f aca="false">'🤖 GPT 4o'!J130</f>
        <v>0</v>
      </c>
    </row>
    <row r="461" customFormat="false" ht="15.75" hidden="false" customHeight="false" outlineLevel="0" collapsed="false">
      <c r="A461" s="128"/>
      <c r="B461" s="4"/>
      <c r="C461" s="6"/>
      <c r="D461" s="142"/>
      <c r="E461" s="6"/>
      <c r="F461" s="6"/>
      <c r="G461" s="6"/>
      <c r="H461" s="6"/>
      <c r="I461" s="6"/>
    </row>
    <row r="462" customFormat="false" ht="15.75" hidden="false" customHeight="false" outlineLevel="0" collapsed="false">
      <c r="A462" s="128" t="n">
        <f aca="false">'🤖 GPT 4o'!$A$132</f>
        <v>0</v>
      </c>
      <c r="B462" s="4" t="s">
        <v>22</v>
      </c>
      <c r="C462" s="129" t="str">
        <f aca="false">'🤖 GPT 4o'!C132</f>
        <v>Base</v>
      </c>
      <c r="D462" s="142" t="n">
        <f aca="false">'🤖 GPT 4o'!E132</f>
        <v>0.001901140684</v>
      </c>
      <c r="E462" s="129" t="n">
        <f aca="false">'🤖 GPT 4o'!F132</f>
        <v>0</v>
      </c>
      <c r="F462" s="129" t="n">
        <f aca="false">'🤖 GPT 4o'!G132</f>
        <v>0</v>
      </c>
      <c r="G462" s="129" t="n">
        <f aca="false">'🤖 GPT 4o'!H132</f>
        <v>0</v>
      </c>
      <c r="H462" s="129" t="n">
        <f aca="false">'🤖 GPT 4o'!I132</f>
        <v>0</v>
      </c>
      <c r="I462" s="129" t="n">
        <f aca="false">'🤖 GPT 4o'!J132</f>
        <v>0</v>
      </c>
    </row>
    <row r="463" customFormat="false" ht="15.75" hidden="false" customHeight="false" outlineLevel="0" collapsed="false">
      <c r="A463" s="128" t="n">
        <f aca="false">'🤖 GPT 4o'!$A$132</f>
        <v>0</v>
      </c>
      <c r="B463" s="4" t="s">
        <v>22</v>
      </c>
      <c r="C463" s="129" t="str">
        <f aca="false">'🤖 GPT 4o'!C133</f>
        <v>CoT</v>
      </c>
      <c r="D463" s="142" t="n">
        <f aca="false">'🤖 GPT 4o'!E133</f>
        <v>0.001901140684</v>
      </c>
      <c r="E463" s="129" t="n">
        <f aca="false">'🤖 GPT 4o'!F133</f>
        <v>0</v>
      </c>
      <c r="F463" s="129" t="n">
        <f aca="false">'🤖 GPT 4o'!G133</f>
        <v>0</v>
      </c>
      <c r="G463" s="129" t="n">
        <f aca="false">'🤖 GPT 4o'!H133</f>
        <v>0</v>
      </c>
      <c r="H463" s="129" t="n">
        <f aca="false">'🤖 GPT 4o'!I133</f>
        <v>0</v>
      </c>
      <c r="I463" s="129" t="n">
        <f aca="false">'🤖 GPT 4o'!J133</f>
        <v>0</v>
      </c>
    </row>
    <row r="464" customFormat="false" ht="15.75" hidden="false" customHeight="false" outlineLevel="0" collapsed="false">
      <c r="A464" s="128" t="n">
        <f aca="false">'🤖 GPT 4o'!$A$132</f>
        <v>0</v>
      </c>
      <c r="B464" s="4" t="s">
        <v>22</v>
      </c>
      <c r="C464" s="129" t="str">
        <f aca="false">'🤖 GPT 4o'!C134</f>
        <v>5W1H</v>
      </c>
      <c r="D464" s="142" t="n">
        <f aca="false">'🤖 GPT 4o'!E134</f>
        <v>0.001901140684</v>
      </c>
      <c r="E464" s="129" t="n">
        <f aca="false">'🤖 GPT 4o'!F134</f>
        <v>0</v>
      </c>
      <c r="F464" s="129" t="n">
        <f aca="false">'🤖 GPT 4o'!G134</f>
        <v>0</v>
      </c>
      <c r="G464" s="129" t="n">
        <f aca="false">'🤖 GPT 4o'!H134</f>
        <v>0</v>
      </c>
      <c r="H464" s="129" t="n">
        <f aca="false">'🤖 GPT 4o'!I134</f>
        <v>0</v>
      </c>
      <c r="I464" s="129" t="n">
        <f aca="false">'🤖 GPT 4o'!J134</f>
        <v>0</v>
      </c>
    </row>
    <row r="465" customFormat="false" ht="15.75" hidden="false" customHeight="false" outlineLevel="0" collapsed="false">
      <c r="A465" s="128" t="n">
        <f aca="false">'🤖 GPT 4o'!$A$132</f>
        <v>0</v>
      </c>
      <c r="B465" s="4" t="s">
        <v>22</v>
      </c>
      <c r="C465" s="129" t="str">
        <f aca="false">'🤖 GPT 4o'!C135</f>
        <v>tldr</v>
      </c>
      <c r="D465" s="142" t="n">
        <f aca="false">'🤖 GPT 4o'!E135</f>
        <v>0.001901140684</v>
      </c>
      <c r="E465" s="129" t="n">
        <f aca="false">'🤖 GPT 4o'!F135</f>
        <v>0</v>
      </c>
      <c r="F465" s="129" t="n">
        <f aca="false">'🤖 GPT 4o'!G135</f>
        <v>0</v>
      </c>
      <c r="G465" s="129" t="n">
        <f aca="false">'🤖 GPT 4o'!H135</f>
        <v>0</v>
      </c>
      <c r="H465" s="129" t="n">
        <f aca="false">'🤖 GPT 4o'!I135</f>
        <v>0</v>
      </c>
      <c r="I465" s="129" t="n">
        <f aca="false">'🤖 GPT 4o'!J135</f>
        <v>0</v>
      </c>
    </row>
    <row r="466" customFormat="false" ht="15.75" hidden="false" customHeight="false" outlineLevel="0" collapsed="false">
      <c r="A466" s="128"/>
      <c r="B466" s="4"/>
      <c r="C466" s="6"/>
      <c r="D466" s="142"/>
      <c r="E466" s="6"/>
      <c r="F466" s="6"/>
      <c r="G466" s="6"/>
      <c r="H466" s="6"/>
      <c r="I466" s="6"/>
    </row>
    <row r="467" customFormat="false" ht="15.75" hidden="false" customHeight="false" outlineLevel="0" collapsed="false">
      <c r="A467" s="128" t="n">
        <f aca="false">'🤖 GPT 4o'!$A$137</f>
        <v>0</v>
      </c>
      <c r="B467" s="4" t="s">
        <v>22</v>
      </c>
      <c r="C467" s="129" t="str">
        <f aca="false">'🤖 GPT 4o'!C137</f>
        <v>Base</v>
      </c>
      <c r="D467" s="142" t="n">
        <f aca="false">'🤖 GPT 4o'!E137</f>
        <v>0.001901140684</v>
      </c>
      <c r="E467" s="129" t="n">
        <f aca="false">'🤖 GPT 4o'!F137</f>
        <v>0</v>
      </c>
      <c r="F467" s="129" t="n">
        <f aca="false">'🤖 GPT 4o'!G137</f>
        <v>0</v>
      </c>
      <c r="G467" s="129" t="n">
        <f aca="false">'🤖 GPT 4o'!H137</f>
        <v>0</v>
      </c>
      <c r="H467" s="129" t="n">
        <f aca="false">'🤖 GPT 4o'!I137</f>
        <v>0</v>
      </c>
      <c r="I467" s="129" t="n">
        <f aca="false">'🤖 GPT 4o'!J137</f>
        <v>0</v>
      </c>
    </row>
    <row r="468" customFormat="false" ht="15.75" hidden="false" customHeight="false" outlineLevel="0" collapsed="false">
      <c r="A468" s="128" t="n">
        <f aca="false">'🤖 GPT 4o'!$A$137</f>
        <v>0</v>
      </c>
      <c r="B468" s="4" t="s">
        <v>22</v>
      </c>
      <c r="C468" s="129" t="str">
        <f aca="false">'🤖 GPT 4o'!C138</f>
        <v>CoT</v>
      </c>
      <c r="D468" s="142" t="n">
        <f aca="false">'🤖 GPT 4o'!E138</f>
        <v>0.001901140684</v>
      </c>
      <c r="E468" s="129" t="n">
        <f aca="false">'🤖 GPT 4o'!F138</f>
        <v>0</v>
      </c>
      <c r="F468" s="129" t="n">
        <f aca="false">'🤖 GPT 4o'!G138</f>
        <v>0</v>
      </c>
      <c r="G468" s="129" t="n">
        <f aca="false">'🤖 GPT 4o'!H138</f>
        <v>0</v>
      </c>
      <c r="H468" s="129" t="n">
        <f aca="false">'🤖 GPT 4o'!I138</f>
        <v>0</v>
      </c>
      <c r="I468" s="129" t="n">
        <f aca="false">'🤖 GPT 4o'!J138</f>
        <v>0</v>
      </c>
    </row>
    <row r="469" customFormat="false" ht="15.75" hidden="false" customHeight="false" outlineLevel="0" collapsed="false">
      <c r="A469" s="128" t="n">
        <f aca="false">'🤖 GPT 4o'!$A$137</f>
        <v>0</v>
      </c>
      <c r="B469" s="4" t="s">
        <v>22</v>
      </c>
      <c r="C469" s="129" t="str">
        <f aca="false">'🤖 GPT 4o'!C139</f>
        <v>5W1H</v>
      </c>
      <c r="D469" s="142" t="n">
        <f aca="false">'🤖 GPT 4o'!E139</f>
        <v>0.001901140684</v>
      </c>
      <c r="E469" s="129" t="n">
        <f aca="false">'🤖 GPT 4o'!F139</f>
        <v>0</v>
      </c>
      <c r="F469" s="129" t="n">
        <f aca="false">'🤖 GPT 4o'!G139</f>
        <v>0</v>
      </c>
      <c r="G469" s="129" t="n">
        <f aca="false">'🤖 GPT 4o'!H139</f>
        <v>0</v>
      </c>
      <c r="H469" s="129" t="n">
        <f aca="false">'🤖 GPT 4o'!I139</f>
        <v>0</v>
      </c>
      <c r="I469" s="129" t="n">
        <f aca="false">'🤖 GPT 4o'!J139</f>
        <v>0</v>
      </c>
    </row>
    <row r="470" customFormat="false" ht="15.75" hidden="false" customHeight="false" outlineLevel="0" collapsed="false">
      <c r="A470" s="128" t="n">
        <f aca="false">'🤖 GPT 4o'!$A$137</f>
        <v>0</v>
      </c>
      <c r="B470" s="4" t="s">
        <v>22</v>
      </c>
      <c r="C470" s="129" t="str">
        <f aca="false">'🤖 GPT 4o'!C140</f>
        <v>tldr</v>
      </c>
      <c r="D470" s="142" t="n">
        <f aca="false">'🤖 GPT 4o'!E140</f>
        <v>0.001901140684</v>
      </c>
      <c r="E470" s="129" t="n">
        <f aca="false">'🤖 GPT 4o'!F140</f>
        <v>0</v>
      </c>
      <c r="F470" s="129" t="n">
        <f aca="false">'🤖 GPT 4o'!G140</f>
        <v>0</v>
      </c>
      <c r="G470" s="129" t="n">
        <f aca="false">'🤖 GPT 4o'!H140</f>
        <v>0</v>
      </c>
      <c r="H470" s="129" t="n">
        <f aca="false">'🤖 GPT 4o'!I140</f>
        <v>0</v>
      </c>
      <c r="I470" s="129" t="n">
        <f aca="false">'🤖 GPT 4o'!J140</f>
        <v>0</v>
      </c>
    </row>
    <row r="471" customFormat="false" ht="15.75" hidden="false" customHeight="false" outlineLevel="0" collapsed="false">
      <c r="A471" s="128"/>
      <c r="B471" s="4"/>
      <c r="C471" s="6"/>
      <c r="D471" s="142"/>
      <c r="E471" s="6"/>
      <c r="F471" s="6"/>
      <c r="G471" s="6"/>
      <c r="H471" s="6"/>
      <c r="I471" s="6"/>
    </row>
    <row r="472" customFormat="false" ht="15.75" hidden="false" customHeight="false" outlineLevel="0" collapsed="false">
      <c r="A472" s="128" t="n">
        <f aca="false">'🤖 GPT 4o'!$A$142</f>
        <v>0</v>
      </c>
      <c r="B472" s="4" t="s">
        <v>22</v>
      </c>
      <c r="C472" s="129" t="str">
        <f aca="false">'🤖 GPT 4o'!C142</f>
        <v>Base</v>
      </c>
      <c r="D472" s="142" t="n">
        <f aca="false">'🤖 GPT 4o'!E142</f>
        <v>0.001901140684</v>
      </c>
      <c r="E472" s="129" t="n">
        <f aca="false">'🤖 GPT 4o'!F142</f>
        <v>0</v>
      </c>
      <c r="F472" s="129" t="n">
        <f aca="false">'🤖 GPT 4o'!G142</f>
        <v>0</v>
      </c>
      <c r="G472" s="129" t="n">
        <f aca="false">'🤖 GPT 4o'!H142</f>
        <v>0</v>
      </c>
      <c r="H472" s="129" t="n">
        <f aca="false">'🤖 GPT 4o'!I142</f>
        <v>0</v>
      </c>
      <c r="I472" s="129" t="n">
        <f aca="false">'🤖 GPT 4o'!J142</f>
        <v>0</v>
      </c>
    </row>
    <row r="473" customFormat="false" ht="15.75" hidden="false" customHeight="false" outlineLevel="0" collapsed="false">
      <c r="A473" s="128" t="n">
        <f aca="false">'🤖 GPT 4o'!$A$142</f>
        <v>0</v>
      </c>
      <c r="B473" s="4" t="s">
        <v>22</v>
      </c>
      <c r="C473" s="129" t="str">
        <f aca="false">'🤖 GPT 4o'!C143</f>
        <v>CoT</v>
      </c>
      <c r="D473" s="142" t="n">
        <f aca="false">'🤖 GPT 4o'!E143</f>
        <v>0.001901140684</v>
      </c>
      <c r="E473" s="129" t="n">
        <f aca="false">'🤖 GPT 4o'!F143</f>
        <v>0</v>
      </c>
      <c r="F473" s="129" t="n">
        <f aca="false">'🤖 GPT 4o'!G143</f>
        <v>0</v>
      </c>
      <c r="G473" s="129" t="n">
        <f aca="false">'🤖 GPT 4o'!H143</f>
        <v>0</v>
      </c>
      <c r="H473" s="129" t="n">
        <f aca="false">'🤖 GPT 4o'!I143</f>
        <v>0</v>
      </c>
      <c r="I473" s="129" t="n">
        <f aca="false">'🤖 GPT 4o'!J143</f>
        <v>0</v>
      </c>
    </row>
    <row r="474" customFormat="false" ht="15.75" hidden="false" customHeight="false" outlineLevel="0" collapsed="false">
      <c r="A474" s="128" t="n">
        <f aca="false">'🤖 GPT 4o'!$A$142</f>
        <v>0</v>
      </c>
      <c r="B474" s="4" t="s">
        <v>22</v>
      </c>
      <c r="C474" s="129" t="str">
        <f aca="false">'🤖 GPT 4o'!C144</f>
        <v>5W1H</v>
      </c>
      <c r="D474" s="142" t="n">
        <f aca="false">'🤖 GPT 4o'!E144</f>
        <v>0.001901140684</v>
      </c>
      <c r="E474" s="129" t="n">
        <f aca="false">'🤖 GPT 4o'!F144</f>
        <v>0</v>
      </c>
      <c r="F474" s="129" t="n">
        <f aca="false">'🤖 GPT 4o'!G144</f>
        <v>0</v>
      </c>
      <c r="G474" s="129" t="n">
        <f aca="false">'🤖 GPT 4o'!H144</f>
        <v>0</v>
      </c>
      <c r="H474" s="129" t="n">
        <f aca="false">'🤖 GPT 4o'!I144</f>
        <v>0</v>
      </c>
      <c r="I474" s="129" t="n">
        <f aca="false">'🤖 GPT 4o'!J144</f>
        <v>0</v>
      </c>
    </row>
    <row r="475" customFormat="false" ht="15.75" hidden="false" customHeight="false" outlineLevel="0" collapsed="false">
      <c r="A475" s="128" t="n">
        <f aca="false">'🤖 GPT 4o'!$A$142</f>
        <v>0</v>
      </c>
      <c r="B475" s="4" t="s">
        <v>22</v>
      </c>
      <c r="C475" s="129" t="str">
        <f aca="false">'🤖 GPT 4o'!C145</f>
        <v>tldr</v>
      </c>
      <c r="D475" s="142" t="n">
        <f aca="false">'🤖 GPT 4o'!E145</f>
        <v>0.001901140684</v>
      </c>
      <c r="E475" s="129" t="n">
        <f aca="false">'🤖 GPT 4o'!F145</f>
        <v>0</v>
      </c>
      <c r="F475" s="129" t="n">
        <f aca="false">'🤖 GPT 4o'!G145</f>
        <v>0</v>
      </c>
      <c r="G475" s="129" t="n">
        <f aca="false">'🤖 GPT 4o'!H145</f>
        <v>0</v>
      </c>
      <c r="H475" s="129" t="n">
        <f aca="false">'🤖 GPT 4o'!I145</f>
        <v>0</v>
      </c>
      <c r="I475" s="129" t="n">
        <f aca="false">'🤖 GPT 4o'!J145</f>
        <v>0</v>
      </c>
    </row>
    <row r="476" customFormat="false" ht="15.75" hidden="false" customHeight="false" outlineLevel="0" collapsed="false">
      <c r="A476" s="128"/>
      <c r="B476" s="4"/>
      <c r="C476" s="6"/>
      <c r="D476" s="142"/>
      <c r="E476" s="6"/>
      <c r="F476" s="6"/>
      <c r="G476" s="6"/>
      <c r="H476" s="6"/>
      <c r="I476" s="6"/>
    </row>
    <row r="477" customFormat="false" ht="15.75" hidden="false" customHeight="false" outlineLevel="0" collapsed="false">
      <c r="A477" s="128" t="n">
        <f aca="false">'🤖 GPT 4o'!$A$147</f>
        <v>0</v>
      </c>
      <c r="B477" s="4" t="s">
        <v>22</v>
      </c>
      <c r="C477" s="129" t="str">
        <f aca="false">'🤖 GPT 4o'!C147</f>
        <v>Base</v>
      </c>
      <c r="D477" s="142" t="n">
        <f aca="false">'🤖 GPT 4o'!E147</f>
        <v>0.001901140684</v>
      </c>
      <c r="E477" s="129" t="n">
        <f aca="false">'🤖 GPT 4o'!F147</f>
        <v>0</v>
      </c>
      <c r="F477" s="129" t="n">
        <f aca="false">'🤖 GPT 4o'!G147</f>
        <v>0</v>
      </c>
      <c r="G477" s="129" t="n">
        <f aca="false">'🤖 GPT 4o'!H147</f>
        <v>0</v>
      </c>
      <c r="H477" s="129" t="n">
        <f aca="false">'🤖 GPT 4o'!I147</f>
        <v>0</v>
      </c>
      <c r="I477" s="129" t="n">
        <f aca="false">'🤖 GPT 4o'!J147</f>
        <v>0</v>
      </c>
    </row>
    <row r="478" customFormat="false" ht="15.75" hidden="false" customHeight="false" outlineLevel="0" collapsed="false">
      <c r="A478" s="128" t="n">
        <f aca="false">'🤖 GPT 4o'!$A$147</f>
        <v>0</v>
      </c>
      <c r="B478" s="4" t="s">
        <v>22</v>
      </c>
      <c r="C478" s="129" t="str">
        <f aca="false">'🤖 GPT 4o'!C148</f>
        <v>CoT</v>
      </c>
      <c r="D478" s="142" t="n">
        <f aca="false">'🤖 GPT 4o'!E148</f>
        <v>0.001901140684</v>
      </c>
      <c r="E478" s="129" t="n">
        <f aca="false">'🤖 GPT 4o'!F148</f>
        <v>0</v>
      </c>
      <c r="F478" s="129" t="n">
        <f aca="false">'🤖 GPT 4o'!G148</f>
        <v>0</v>
      </c>
      <c r="G478" s="129" t="n">
        <f aca="false">'🤖 GPT 4o'!H148</f>
        <v>0</v>
      </c>
      <c r="H478" s="129" t="n">
        <f aca="false">'🤖 GPT 4o'!I148</f>
        <v>0</v>
      </c>
      <c r="I478" s="129" t="n">
        <f aca="false">'🤖 GPT 4o'!J148</f>
        <v>0</v>
      </c>
    </row>
    <row r="479" customFormat="false" ht="15.75" hidden="false" customHeight="false" outlineLevel="0" collapsed="false">
      <c r="A479" s="128" t="n">
        <f aca="false">'🤖 GPT 4o'!$A$147</f>
        <v>0</v>
      </c>
      <c r="B479" s="4" t="s">
        <v>22</v>
      </c>
      <c r="C479" s="129" t="str">
        <f aca="false">'🤖 GPT 4o'!C149</f>
        <v>5W1H</v>
      </c>
      <c r="D479" s="142" t="n">
        <f aca="false">'🤖 GPT 4o'!E149</f>
        <v>0.001901140684</v>
      </c>
      <c r="E479" s="129" t="n">
        <f aca="false">'🤖 GPT 4o'!F149</f>
        <v>0</v>
      </c>
      <c r="F479" s="129" t="n">
        <f aca="false">'🤖 GPT 4o'!G149</f>
        <v>0</v>
      </c>
      <c r="G479" s="129" t="n">
        <f aca="false">'🤖 GPT 4o'!H149</f>
        <v>0</v>
      </c>
      <c r="H479" s="129" t="n">
        <f aca="false">'🤖 GPT 4o'!I149</f>
        <v>0</v>
      </c>
      <c r="I479" s="129" t="n">
        <f aca="false">'🤖 GPT 4o'!J149</f>
        <v>0</v>
      </c>
    </row>
    <row r="480" customFormat="false" ht="15.75" hidden="false" customHeight="false" outlineLevel="0" collapsed="false">
      <c r="A480" s="128" t="n">
        <f aca="false">'🤖 GPT 4o'!$A$147</f>
        <v>0</v>
      </c>
      <c r="B480" s="4" t="s">
        <v>22</v>
      </c>
      <c r="C480" s="129" t="str">
        <f aca="false">'🤖 GPT 4o'!C150</f>
        <v>tldr</v>
      </c>
      <c r="D480" s="142" t="n">
        <f aca="false">'🤖 GPT 4o'!E150</f>
        <v>0.001901140684</v>
      </c>
      <c r="E480" s="129" t="n">
        <f aca="false">'🤖 GPT 4o'!F150</f>
        <v>0</v>
      </c>
      <c r="F480" s="129" t="n">
        <f aca="false">'🤖 GPT 4o'!G150</f>
        <v>0</v>
      </c>
      <c r="G480" s="129" t="n">
        <f aca="false">'🤖 GPT 4o'!H150</f>
        <v>0</v>
      </c>
      <c r="H480" s="129" t="n">
        <f aca="false">'🤖 GPT 4o'!I150</f>
        <v>0</v>
      </c>
      <c r="I480" s="129" t="n">
        <f aca="false">'🤖 GPT 4o'!J150</f>
        <v>0</v>
      </c>
    </row>
    <row r="481" customFormat="false" ht="15.75" hidden="false" customHeight="false" outlineLevel="0" collapsed="false">
      <c r="A481" s="128"/>
      <c r="B481" s="4"/>
      <c r="C481" s="6"/>
      <c r="D481" s="142"/>
      <c r="E481" s="6"/>
      <c r="F481" s="6"/>
      <c r="G481" s="6"/>
      <c r="H481" s="6"/>
      <c r="I481" s="6"/>
    </row>
    <row r="482" customFormat="false" ht="15.75" hidden="false" customHeight="false" outlineLevel="0" collapsed="false">
      <c r="A482" s="128" t="n">
        <f aca="false">'🤖 GPT 4o'!$A$152</f>
        <v>0</v>
      </c>
      <c r="B482" s="4" t="s">
        <v>22</v>
      </c>
      <c r="C482" s="129" t="str">
        <f aca="false">'🤖 GPT 4o'!C152</f>
        <v>Base</v>
      </c>
      <c r="D482" s="142" t="n">
        <f aca="false">'🤖 GPT 4o'!E152</f>
        <v>0.001901140684</v>
      </c>
      <c r="E482" s="129" t="n">
        <f aca="false">'🤖 GPT 4o'!F152</f>
        <v>0</v>
      </c>
      <c r="F482" s="129" t="n">
        <f aca="false">'🤖 GPT 4o'!G152</f>
        <v>0</v>
      </c>
      <c r="G482" s="129" t="n">
        <f aca="false">'🤖 GPT 4o'!H152</f>
        <v>0</v>
      </c>
      <c r="H482" s="129" t="n">
        <f aca="false">'🤖 GPT 4o'!I152</f>
        <v>0</v>
      </c>
      <c r="I482" s="129" t="n">
        <f aca="false">'🤖 GPT 4o'!J152</f>
        <v>0</v>
      </c>
    </row>
    <row r="483" customFormat="false" ht="15.75" hidden="false" customHeight="false" outlineLevel="0" collapsed="false">
      <c r="A483" s="128" t="n">
        <f aca="false">'🤖 GPT 4o'!$A$152</f>
        <v>0</v>
      </c>
      <c r="B483" s="4" t="s">
        <v>22</v>
      </c>
      <c r="C483" s="129" t="str">
        <f aca="false">'🤖 GPT 4o'!C153</f>
        <v>CoT</v>
      </c>
      <c r="D483" s="142" t="n">
        <f aca="false">'🤖 GPT 4o'!E153</f>
        <v>0.001901140684</v>
      </c>
      <c r="E483" s="129" t="n">
        <f aca="false">'🤖 GPT 4o'!F153</f>
        <v>0</v>
      </c>
      <c r="F483" s="129" t="n">
        <f aca="false">'🤖 GPT 4o'!G153</f>
        <v>0</v>
      </c>
      <c r="G483" s="129" t="n">
        <f aca="false">'🤖 GPT 4o'!H153</f>
        <v>0</v>
      </c>
      <c r="H483" s="129" t="n">
        <f aca="false">'🤖 GPT 4o'!I153</f>
        <v>0</v>
      </c>
      <c r="I483" s="129" t="n">
        <f aca="false">'🤖 GPT 4o'!J153</f>
        <v>0</v>
      </c>
    </row>
    <row r="484" customFormat="false" ht="15.75" hidden="false" customHeight="false" outlineLevel="0" collapsed="false">
      <c r="A484" s="128" t="n">
        <f aca="false">'🤖 GPT 4o'!$A$152</f>
        <v>0</v>
      </c>
      <c r="B484" s="4" t="s">
        <v>22</v>
      </c>
      <c r="C484" s="129" t="str">
        <f aca="false">'🤖 GPT 4o'!C154</f>
        <v>5W1H</v>
      </c>
      <c r="D484" s="142" t="n">
        <f aca="false">'🤖 GPT 4o'!E154</f>
        <v>0.001901140684</v>
      </c>
      <c r="E484" s="129" t="n">
        <f aca="false">'🤖 GPT 4o'!F154</f>
        <v>0</v>
      </c>
      <c r="F484" s="129" t="n">
        <f aca="false">'🤖 GPT 4o'!G154</f>
        <v>0</v>
      </c>
      <c r="G484" s="129" t="n">
        <f aca="false">'🤖 GPT 4o'!H154</f>
        <v>0</v>
      </c>
      <c r="H484" s="129" t="n">
        <f aca="false">'🤖 GPT 4o'!I154</f>
        <v>0</v>
      </c>
      <c r="I484" s="129" t="n">
        <f aca="false">'🤖 GPT 4o'!J154</f>
        <v>0</v>
      </c>
    </row>
    <row r="485" customFormat="false" ht="15.75" hidden="false" customHeight="false" outlineLevel="0" collapsed="false">
      <c r="A485" s="128" t="n">
        <f aca="false">'🤖 GPT 4o'!$A$152</f>
        <v>0</v>
      </c>
      <c r="B485" s="4" t="s">
        <v>22</v>
      </c>
      <c r="C485" s="129" t="str">
        <f aca="false">'🤖 GPT 4o'!C155</f>
        <v>tldr</v>
      </c>
      <c r="D485" s="142" t="n">
        <f aca="false">'🤖 GPT 4o'!E155</f>
        <v>0.001901140684</v>
      </c>
      <c r="E485" s="129" t="n">
        <f aca="false">'🤖 GPT 4o'!F155</f>
        <v>0</v>
      </c>
      <c r="F485" s="129" t="n">
        <f aca="false">'🤖 GPT 4o'!G155</f>
        <v>0</v>
      </c>
      <c r="G485" s="129" t="n">
        <f aca="false">'🤖 GPT 4o'!H155</f>
        <v>0</v>
      </c>
      <c r="H485" s="129" t="n">
        <f aca="false">'🤖 GPT 4o'!I155</f>
        <v>0</v>
      </c>
      <c r="I485" s="129" t="n">
        <f aca="false">'🤖 GPT 4o'!J155</f>
        <v>0</v>
      </c>
    </row>
    <row r="486" customFormat="false" ht="15.75" hidden="false" customHeight="false" outlineLevel="0" collapsed="false">
      <c r="A486" s="128"/>
      <c r="B486" s="4"/>
      <c r="C486" s="6"/>
      <c r="D486" s="142"/>
      <c r="E486" s="6"/>
      <c r="F486" s="6"/>
      <c r="G486" s="6"/>
      <c r="H486" s="6"/>
      <c r="I486" s="6"/>
    </row>
    <row r="487" customFormat="false" ht="15.75" hidden="false" customHeight="false" outlineLevel="0" collapsed="false">
      <c r="A487" s="128" t="n">
        <f aca="false">'🤖 GPT 4o'!$A$157</f>
        <v>0</v>
      </c>
      <c r="B487" s="4" t="s">
        <v>22</v>
      </c>
      <c r="C487" s="129" t="str">
        <f aca="false">'🤖 GPT 4o'!C157</f>
        <v>Base</v>
      </c>
      <c r="D487" s="142" t="n">
        <f aca="false">'🤖 GPT 4o'!E157</f>
        <v>0.001901140684</v>
      </c>
      <c r="E487" s="129" t="n">
        <f aca="false">'🤖 GPT 4o'!F157</f>
        <v>0</v>
      </c>
      <c r="F487" s="129" t="n">
        <f aca="false">'🤖 GPT 4o'!G157</f>
        <v>0</v>
      </c>
      <c r="G487" s="129" t="n">
        <f aca="false">'🤖 GPT 4o'!H157</f>
        <v>0</v>
      </c>
      <c r="H487" s="129" t="n">
        <f aca="false">'🤖 GPT 4o'!I157</f>
        <v>0</v>
      </c>
      <c r="I487" s="129" t="n">
        <f aca="false">'🤖 GPT 4o'!J157</f>
        <v>0</v>
      </c>
    </row>
    <row r="488" customFormat="false" ht="15.75" hidden="false" customHeight="false" outlineLevel="0" collapsed="false">
      <c r="A488" s="128" t="n">
        <f aca="false">'🤖 GPT 4o'!$A$157</f>
        <v>0</v>
      </c>
      <c r="B488" s="4" t="s">
        <v>22</v>
      </c>
      <c r="C488" s="129" t="str">
        <f aca="false">'🤖 GPT 4o'!C158</f>
        <v>CoT</v>
      </c>
      <c r="D488" s="142" t="n">
        <f aca="false">'🤖 GPT 4o'!E158</f>
        <v>0.001901140684</v>
      </c>
      <c r="E488" s="129" t="n">
        <f aca="false">'🤖 GPT 4o'!F158</f>
        <v>0</v>
      </c>
      <c r="F488" s="129" t="n">
        <f aca="false">'🤖 GPT 4o'!G158</f>
        <v>0</v>
      </c>
      <c r="G488" s="129" t="n">
        <f aca="false">'🤖 GPT 4o'!H158</f>
        <v>0</v>
      </c>
      <c r="H488" s="129" t="n">
        <f aca="false">'🤖 GPT 4o'!I158</f>
        <v>0</v>
      </c>
      <c r="I488" s="129" t="n">
        <f aca="false">'🤖 GPT 4o'!J158</f>
        <v>0</v>
      </c>
    </row>
    <row r="489" customFormat="false" ht="15.75" hidden="false" customHeight="false" outlineLevel="0" collapsed="false">
      <c r="A489" s="128" t="n">
        <f aca="false">'🤖 GPT 4o'!$A$157</f>
        <v>0</v>
      </c>
      <c r="B489" s="4" t="s">
        <v>22</v>
      </c>
      <c r="C489" s="129" t="str">
        <f aca="false">'🤖 GPT 4o'!C159</f>
        <v>5W1H</v>
      </c>
      <c r="D489" s="142" t="n">
        <f aca="false">'🤖 GPT 4o'!E159</f>
        <v>0.001901140684</v>
      </c>
      <c r="E489" s="129" t="n">
        <f aca="false">'🤖 GPT 4o'!F159</f>
        <v>0</v>
      </c>
      <c r="F489" s="129" t="n">
        <f aca="false">'🤖 GPT 4o'!G159</f>
        <v>0</v>
      </c>
      <c r="G489" s="129" t="n">
        <f aca="false">'🤖 GPT 4o'!H159</f>
        <v>0</v>
      </c>
      <c r="H489" s="129" t="n">
        <f aca="false">'🤖 GPT 4o'!I159</f>
        <v>0</v>
      </c>
      <c r="I489" s="129" t="n">
        <f aca="false">'🤖 GPT 4o'!J159</f>
        <v>0</v>
      </c>
    </row>
    <row r="490" customFormat="false" ht="15.75" hidden="false" customHeight="false" outlineLevel="0" collapsed="false">
      <c r="A490" s="128" t="n">
        <f aca="false">'🤖 GPT 4o'!$A$157</f>
        <v>0</v>
      </c>
      <c r="B490" s="4" t="s">
        <v>22</v>
      </c>
      <c r="C490" s="129" t="str">
        <f aca="false">'🤖 GPT 4o'!C160</f>
        <v>tldr</v>
      </c>
      <c r="D490" s="142" t="n">
        <f aca="false">'🤖 GPT 4o'!E160</f>
        <v>0.001901140684</v>
      </c>
      <c r="E490" s="129" t="n">
        <f aca="false">'🤖 GPT 4o'!F160</f>
        <v>0</v>
      </c>
      <c r="F490" s="129" t="n">
        <f aca="false">'🤖 GPT 4o'!G160</f>
        <v>0</v>
      </c>
      <c r="G490" s="129" t="n">
        <f aca="false">'🤖 GPT 4o'!H160</f>
        <v>0</v>
      </c>
      <c r="H490" s="129" t="n">
        <f aca="false">'🤖 GPT 4o'!I160</f>
        <v>0</v>
      </c>
      <c r="I490" s="129" t="n">
        <f aca="false">'🤖 GPT 4o'!J160</f>
        <v>0</v>
      </c>
    </row>
    <row r="491" customFormat="false" ht="15.75" hidden="false" customHeight="false" outlineLevel="0" collapsed="false">
      <c r="A491" s="128"/>
      <c r="B491" s="4"/>
      <c r="C491" s="6"/>
      <c r="D491" s="142"/>
      <c r="E491" s="6"/>
      <c r="F491" s="6"/>
      <c r="G491" s="6"/>
      <c r="H491" s="6"/>
      <c r="I491" s="6"/>
    </row>
    <row r="492" customFormat="false" ht="15.75" hidden="false" customHeight="false" outlineLevel="0" collapsed="false">
      <c r="A492" s="128" t="n">
        <f aca="false">'🤖 GPT 4o'!$A$162</f>
        <v>0</v>
      </c>
      <c r="B492" s="4" t="s">
        <v>22</v>
      </c>
      <c r="C492" s="129" t="str">
        <f aca="false">'🤖 GPT 4o'!C162</f>
        <v>Base</v>
      </c>
      <c r="D492" s="142" t="n">
        <f aca="false">'🤖 GPT 4o'!E162</f>
        <v>0.001901140684</v>
      </c>
      <c r="E492" s="129" t="n">
        <f aca="false">'🤖 GPT 4o'!F162</f>
        <v>0</v>
      </c>
      <c r="F492" s="129" t="n">
        <f aca="false">'🤖 GPT 4o'!G162</f>
        <v>0</v>
      </c>
      <c r="G492" s="129" t="n">
        <f aca="false">'🤖 GPT 4o'!H162</f>
        <v>0</v>
      </c>
      <c r="H492" s="129" t="n">
        <f aca="false">'🤖 GPT 4o'!I162</f>
        <v>0</v>
      </c>
      <c r="I492" s="129" t="n">
        <f aca="false">'🤖 GPT 4o'!J162</f>
        <v>0</v>
      </c>
    </row>
    <row r="493" customFormat="false" ht="15.75" hidden="false" customHeight="false" outlineLevel="0" collapsed="false">
      <c r="A493" s="128" t="n">
        <f aca="false">'🤖 GPT 4o'!$A$162</f>
        <v>0</v>
      </c>
      <c r="B493" s="4" t="s">
        <v>22</v>
      </c>
      <c r="C493" s="129" t="str">
        <f aca="false">'🤖 GPT 4o'!C163</f>
        <v>CoT</v>
      </c>
      <c r="D493" s="142" t="n">
        <f aca="false">'🤖 GPT 4o'!E163</f>
        <v>0.001901140684</v>
      </c>
      <c r="E493" s="129" t="n">
        <f aca="false">'🤖 GPT 4o'!F163</f>
        <v>0</v>
      </c>
      <c r="F493" s="129" t="n">
        <f aca="false">'🤖 GPT 4o'!G163</f>
        <v>0</v>
      </c>
      <c r="G493" s="129" t="n">
        <f aca="false">'🤖 GPT 4o'!H163</f>
        <v>0</v>
      </c>
      <c r="H493" s="129" t="n">
        <f aca="false">'🤖 GPT 4o'!I163</f>
        <v>0</v>
      </c>
      <c r="I493" s="129" t="n">
        <f aca="false">'🤖 GPT 4o'!J163</f>
        <v>0</v>
      </c>
    </row>
    <row r="494" customFormat="false" ht="15.75" hidden="false" customHeight="false" outlineLevel="0" collapsed="false">
      <c r="A494" s="128" t="n">
        <f aca="false">'🤖 GPT 4o'!$A$162</f>
        <v>0</v>
      </c>
      <c r="B494" s="4" t="s">
        <v>22</v>
      </c>
      <c r="C494" s="129" t="str">
        <f aca="false">'🤖 GPT 4o'!C164</f>
        <v>5W1H</v>
      </c>
      <c r="D494" s="142" t="n">
        <f aca="false">'🤖 GPT 4o'!E164</f>
        <v>0.001901140684</v>
      </c>
      <c r="E494" s="129" t="n">
        <f aca="false">'🤖 GPT 4o'!F164</f>
        <v>0</v>
      </c>
      <c r="F494" s="129" t="n">
        <f aca="false">'🤖 GPT 4o'!G164</f>
        <v>0</v>
      </c>
      <c r="G494" s="129" t="n">
        <f aca="false">'🤖 GPT 4o'!H164</f>
        <v>0</v>
      </c>
      <c r="H494" s="129" t="n">
        <f aca="false">'🤖 GPT 4o'!I164</f>
        <v>0</v>
      </c>
      <c r="I494" s="129" t="n">
        <f aca="false">'🤖 GPT 4o'!J164</f>
        <v>0</v>
      </c>
    </row>
    <row r="495" customFormat="false" ht="15.75" hidden="false" customHeight="false" outlineLevel="0" collapsed="false">
      <c r="A495" s="128" t="n">
        <f aca="false">'🤖 GPT 4o'!$A$162</f>
        <v>0</v>
      </c>
      <c r="B495" s="4" t="s">
        <v>22</v>
      </c>
      <c r="C495" s="129" t="str">
        <f aca="false">'🤖 GPT 4o'!C165</f>
        <v>tldr</v>
      </c>
      <c r="D495" s="142" t="n">
        <f aca="false">'🤖 GPT 4o'!E165</f>
        <v>0.001901140684</v>
      </c>
      <c r="E495" s="129" t="n">
        <f aca="false">'🤖 GPT 4o'!F165</f>
        <v>0</v>
      </c>
      <c r="F495" s="129" t="n">
        <f aca="false">'🤖 GPT 4o'!G165</f>
        <v>0</v>
      </c>
      <c r="G495" s="129" t="n">
        <f aca="false">'🤖 GPT 4o'!H165</f>
        <v>0</v>
      </c>
      <c r="H495" s="129" t="n">
        <f aca="false">'🤖 GPT 4o'!I165</f>
        <v>0</v>
      </c>
      <c r="I495" s="129" t="n">
        <f aca="false">'🤖 GPT 4o'!J165</f>
        <v>0</v>
      </c>
    </row>
    <row r="496" customFormat="false" ht="15.75" hidden="false" customHeight="false" outlineLevel="0" collapsed="false">
      <c r="A496" s="9"/>
      <c r="B496" s="9"/>
      <c r="C496" s="51"/>
      <c r="D496" s="9"/>
      <c r="E496" s="51"/>
      <c r="F496" s="51"/>
      <c r="G496" s="51"/>
      <c r="H496" s="51"/>
      <c r="I496" s="51"/>
    </row>
    <row r="497" customFormat="false" ht="15.75" hidden="false" customHeight="false" outlineLevel="0" collapsed="false">
      <c r="A497" s="128" t="str">
        <f aca="false">'🤖 Reka Flash'!$A$2</f>
        <v>https://www.berria.eus/kirola/hau-badakit-egunen-batean-aterako-da-barruan-dudan-jokoa_2123931_102.html</v>
      </c>
      <c r="B497" s="4" t="s">
        <v>23</v>
      </c>
      <c r="C497" s="129" t="str">
        <f aca="false">'🤖 Reka Flash'!C2</f>
        <v>Base</v>
      </c>
      <c r="D497" s="157" t="n">
        <f aca="false">'🤖 Reka Flash'!E2</f>
        <v>0.1124546554</v>
      </c>
      <c r="E497" s="129" t="n">
        <f aca="false">'🤖 Reka Flash'!F2</f>
        <v>4</v>
      </c>
      <c r="F497" s="129" t="n">
        <f aca="false">'🤖 Reka Flash'!G2</f>
        <v>4</v>
      </c>
      <c r="G497" s="129" t="n">
        <f aca="false">'🤖 Reka Flash'!H2</f>
        <v>4</v>
      </c>
      <c r="H497" s="129" t="n">
        <f aca="false">'🤖 Reka Flash'!I2</f>
        <v>5</v>
      </c>
      <c r="I497" s="129" t="n">
        <f aca="false">'🤖 Reka Flash'!J2</f>
        <v>3</v>
      </c>
    </row>
    <row r="498" customFormat="false" ht="15.75" hidden="false" customHeight="false" outlineLevel="0" collapsed="false">
      <c r="A498" s="128" t="str">
        <f aca="false">'🤖 Reka Flash'!$A$2</f>
        <v>https://www.berria.eus/kirola/hau-badakit-egunen-batean-aterako-da-barruan-dudan-jokoa_2123931_102.html</v>
      </c>
      <c r="B498" s="4" t="s">
        <v>23</v>
      </c>
      <c r="C498" s="129" t="str">
        <f aca="false">'🤖 Reka Flash'!C3</f>
        <v>CoT</v>
      </c>
      <c r="D498" s="157" t="n">
        <f aca="false">'🤖 Reka Flash'!E3</f>
        <v>0.1414752116</v>
      </c>
      <c r="E498" s="129" t="n">
        <f aca="false">'🤖 Reka Flash'!F3</f>
        <v>4</v>
      </c>
      <c r="F498" s="129" t="n">
        <f aca="false">'🤖 Reka Flash'!G3</f>
        <v>4</v>
      </c>
      <c r="G498" s="129" t="n">
        <f aca="false">'🤖 Reka Flash'!H3</f>
        <v>3</v>
      </c>
      <c r="H498" s="129" t="n">
        <f aca="false">'🤖 Reka Flash'!I3</f>
        <v>4</v>
      </c>
      <c r="I498" s="129" t="n">
        <f aca="false">'🤖 Reka Flash'!J3</f>
        <v>5</v>
      </c>
    </row>
    <row r="499" customFormat="false" ht="15.75" hidden="false" customHeight="false" outlineLevel="0" collapsed="false">
      <c r="A499" s="128" t="str">
        <f aca="false">'🤖 Reka Flash'!$A$2</f>
        <v>https://www.berria.eus/kirola/hau-badakit-egunen-batean-aterako-da-barruan-dudan-jokoa_2123931_102.html</v>
      </c>
      <c r="B499" s="4" t="s">
        <v>23</v>
      </c>
      <c r="C499" s="129" t="str">
        <f aca="false">'🤖 Reka Flash'!C4</f>
        <v>5W1H</v>
      </c>
      <c r="D499" s="176" t="n">
        <f aca="false">'🤖 Reka Flash'!E4</f>
        <v>0.1837968561</v>
      </c>
      <c r="E499" s="129" t="n">
        <f aca="false">'🤖 Reka Flash'!F4</f>
        <v>3</v>
      </c>
      <c r="F499" s="129" t="n">
        <f aca="false">'🤖 Reka Flash'!G4</f>
        <v>4</v>
      </c>
      <c r="G499" s="129" t="n">
        <f aca="false">'🤖 Reka Flash'!H4</f>
        <v>3</v>
      </c>
      <c r="H499" s="129" t="n">
        <f aca="false">'🤖 Reka Flash'!I4</f>
        <v>4</v>
      </c>
      <c r="I499" s="129" t="n">
        <f aca="false">'🤖 Reka Flash'!J4</f>
        <v>5</v>
      </c>
    </row>
    <row r="500" customFormat="false" ht="15.75" hidden="false" customHeight="false" outlineLevel="0" collapsed="false">
      <c r="A500" s="128" t="str">
        <f aca="false">'🤖 Reka Flash'!$A$2</f>
        <v>https://www.berria.eus/kirola/hau-badakit-egunen-batean-aterako-da-barruan-dudan-jokoa_2123931_102.html</v>
      </c>
      <c r="B500" s="4" t="s">
        <v>23</v>
      </c>
      <c r="C500" s="129" t="str">
        <f aca="false">'🤖 Reka Flash'!C5</f>
        <v>tldr</v>
      </c>
      <c r="D500" s="150" t="n">
        <f aca="false">'🤖 Reka Flash'!E5</f>
        <v>0.08101571947</v>
      </c>
      <c r="E500" s="129" t="n">
        <f aca="false">'🤖 Reka Flash'!F5</f>
        <v>4</v>
      </c>
      <c r="F500" s="129" t="n">
        <f aca="false">'🤖 Reka Flash'!G5</f>
        <v>4</v>
      </c>
      <c r="G500" s="129" t="n">
        <f aca="false">'🤖 Reka Flash'!H5</f>
        <v>3</v>
      </c>
      <c r="H500" s="129" t="n">
        <f aca="false">'🤖 Reka Flash'!I5</f>
        <v>5</v>
      </c>
      <c r="I500" s="129" t="n">
        <f aca="false">'🤖 Reka Flash'!J5</f>
        <v>3</v>
      </c>
    </row>
    <row r="501" customFormat="false" ht="15.75" hidden="false" customHeight="false" outlineLevel="0" collapsed="false">
      <c r="A501" s="9"/>
      <c r="B501" s="9"/>
      <c r="C501" s="51"/>
      <c r="D501" s="9"/>
      <c r="E501" s="51"/>
      <c r="F501" s="51"/>
      <c r="G501" s="51"/>
      <c r="H501" s="51"/>
      <c r="I501" s="51"/>
    </row>
    <row r="502" customFormat="false" ht="15.75" hidden="false" customHeight="false" outlineLevel="0" collapsed="false">
      <c r="A502" s="128" t="str">
        <f aca="false">'🤖 Reka Flash'!$A$7</f>
        <v>https://www.berria.eus/ekonomia/kutxabankek-2116-euro-bideratu-zituen-karbono-gutxiko-proiektuak-finantzatzera_2120192_102.html</v>
      </c>
      <c r="B502" s="4" t="s">
        <v>23</v>
      </c>
      <c r="C502" s="129" t="str">
        <f aca="false">'🤖 Reka Flash'!C7</f>
        <v>Base</v>
      </c>
      <c r="D502" s="134" t="n">
        <f aca="false">'🤖 Reka Flash'!E7</f>
        <v>0.4803149606</v>
      </c>
      <c r="E502" s="129" t="n">
        <f aca="false">'🤖 Reka Flash'!F7</f>
        <v>5</v>
      </c>
      <c r="F502" s="129" t="n">
        <f aca="false">'🤖 Reka Flash'!G7</f>
        <v>4</v>
      </c>
      <c r="G502" s="129" t="n">
        <f aca="false">'🤖 Reka Flash'!H7</f>
        <v>5</v>
      </c>
      <c r="H502" s="129" t="n">
        <f aca="false">'🤖 Reka Flash'!I7</f>
        <v>4</v>
      </c>
      <c r="I502" s="129" t="n">
        <f aca="false">'🤖 Reka Flash'!J7</f>
        <v>5</v>
      </c>
    </row>
    <row r="503" customFormat="false" ht="15.75" hidden="false" customHeight="false" outlineLevel="0" collapsed="false">
      <c r="A503" s="128" t="str">
        <f aca="false">'🤖 Reka Flash'!$A$7</f>
        <v>https://www.berria.eus/ekonomia/kutxabankek-2116-euro-bideratu-zituen-karbono-gutxiko-proiektuak-finantzatzera_2120192_102.html</v>
      </c>
      <c r="B503" s="4" t="s">
        <v>23</v>
      </c>
      <c r="C503" s="129" t="str">
        <f aca="false">'🤖 Reka Flash'!C8</f>
        <v>CoT</v>
      </c>
      <c r="D503" s="150" t="n">
        <f aca="false">'🤖 Reka Flash'!E8</f>
        <v>0.4960629921</v>
      </c>
      <c r="E503" s="129" t="n">
        <f aca="false">'🤖 Reka Flash'!F8</f>
        <v>4</v>
      </c>
      <c r="F503" s="129" t="n">
        <f aca="false">'🤖 Reka Flash'!G8</f>
        <v>4</v>
      </c>
      <c r="G503" s="129" t="n">
        <f aca="false">'🤖 Reka Flash'!H8</f>
        <v>4</v>
      </c>
      <c r="H503" s="129" t="n">
        <f aca="false">'🤖 Reka Flash'!I8</f>
        <v>4</v>
      </c>
      <c r="I503" s="129" t="n">
        <f aca="false">'🤖 Reka Flash'!J8</f>
        <v>5</v>
      </c>
    </row>
    <row r="504" customFormat="false" ht="15.75" hidden="false" customHeight="false" outlineLevel="0" collapsed="false">
      <c r="A504" s="128" t="str">
        <f aca="false">'🤖 Reka Flash'!$A$7</f>
        <v>https://www.berria.eus/ekonomia/kutxabankek-2116-euro-bideratu-zituen-karbono-gutxiko-proiektuak-finantzatzera_2120192_102.html</v>
      </c>
      <c r="B504" s="4" t="s">
        <v>23</v>
      </c>
      <c r="C504" s="129" t="str">
        <f aca="false">'🤖 Reka Flash'!C9</f>
        <v>5W1H</v>
      </c>
      <c r="D504" s="132" t="n">
        <f aca="false">'🤖 Reka Flash'!E9</f>
        <v>0.6377952756</v>
      </c>
      <c r="E504" s="129" t="n">
        <f aca="false">'🤖 Reka Flash'!F9</f>
        <v>3</v>
      </c>
      <c r="F504" s="129" t="n">
        <f aca="false">'🤖 Reka Flash'!G9</f>
        <v>3</v>
      </c>
      <c r="G504" s="129" t="n">
        <f aca="false">'🤖 Reka Flash'!H9</f>
        <v>3</v>
      </c>
      <c r="H504" s="129" t="n">
        <f aca="false">'🤖 Reka Flash'!I9</f>
        <v>3</v>
      </c>
      <c r="I504" s="129" t="n">
        <f aca="false">'🤖 Reka Flash'!J9</f>
        <v>5</v>
      </c>
    </row>
    <row r="505" customFormat="false" ht="15.75" hidden="false" customHeight="false" outlineLevel="0" collapsed="false">
      <c r="A505" s="128" t="str">
        <f aca="false">'🤖 Reka Flash'!$A$7</f>
        <v>https://www.berria.eus/ekonomia/kutxabankek-2116-euro-bideratu-zituen-karbono-gutxiko-proiektuak-finantzatzera_2120192_102.html</v>
      </c>
      <c r="B505" s="4" t="s">
        <v>23</v>
      </c>
      <c r="C505" s="129" t="str">
        <f aca="false">'🤖 Reka Flash'!C10</f>
        <v>tldr</v>
      </c>
      <c r="D505" s="138" t="n">
        <f aca="false">'🤖 Reka Flash'!E10</f>
        <v>0.4330708661</v>
      </c>
      <c r="E505" s="129" t="n">
        <f aca="false">'🤖 Reka Flash'!F10</f>
        <v>4</v>
      </c>
      <c r="F505" s="129" t="n">
        <f aca="false">'🤖 Reka Flash'!G10</f>
        <v>4</v>
      </c>
      <c r="G505" s="129" t="n">
        <f aca="false">'🤖 Reka Flash'!H10</f>
        <v>3</v>
      </c>
      <c r="H505" s="129" t="n">
        <f aca="false">'🤖 Reka Flash'!I10</f>
        <v>4</v>
      </c>
      <c r="I505" s="129" t="n">
        <f aca="false">'🤖 Reka Flash'!J10</f>
        <v>5</v>
      </c>
    </row>
    <row r="506" customFormat="false" ht="15.75" hidden="false" customHeight="false" outlineLevel="0" collapsed="false">
      <c r="A506" s="9"/>
      <c r="B506" s="9"/>
      <c r="C506" s="51"/>
      <c r="D506" s="9"/>
      <c r="E506" s="51"/>
      <c r="F506" s="51"/>
      <c r="G506" s="51"/>
      <c r="H506" s="51"/>
      <c r="I506" s="51"/>
    </row>
    <row r="507" customFormat="false" ht="15.75" hidden="false" customHeight="false" outlineLevel="0" collapsed="false">
      <c r="A507" s="128" t="str">
        <f aca="false">'🤖 Reka Flash'!$A$12</f>
        <v>https://www.berria.eus/bizigiro/tradizioa-eta-abangoardia_2126379_102.html</v>
      </c>
      <c r="B507" s="4" t="s">
        <v>23</v>
      </c>
      <c r="C507" s="129" t="str">
        <f aca="false">'🤖 Reka Flash'!C12</f>
        <v>Base</v>
      </c>
      <c r="D507" s="152" t="n">
        <f aca="false">'🤖 Reka Flash'!E12</f>
        <v>0.1921052632</v>
      </c>
      <c r="E507" s="129" t="n">
        <f aca="false">'🤖 Reka Flash'!F12</f>
        <v>4</v>
      </c>
      <c r="F507" s="129" t="n">
        <f aca="false">'🤖 Reka Flash'!G12</f>
        <v>5</v>
      </c>
      <c r="G507" s="129" t="n">
        <f aca="false">'🤖 Reka Flash'!H12</f>
        <v>4</v>
      </c>
      <c r="H507" s="129" t="n">
        <f aca="false">'🤖 Reka Flash'!I12</f>
        <v>4</v>
      </c>
      <c r="I507" s="129" t="n">
        <f aca="false">'🤖 Reka Flash'!J12</f>
        <v>5</v>
      </c>
    </row>
    <row r="508" customFormat="false" ht="15.75" hidden="false" customHeight="false" outlineLevel="0" collapsed="false">
      <c r="A508" s="128" t="str">
        <f aca="false">'🤖 Reka Flash'!$A$12</f>
        <v>https://www.berria.eus/bizigiro/tradizioa-eta-abangoardia_2126379_102.html</v>
      </c>
      <c r="B508" s="4" t="s">
        <v>23</v>
      </c>
      <c r="C508" s="129" t="str">
        <f aca="false">'🤖 Reka Flash'!C13</f>
        <v>CoT</v>
      </c>
      <c r="D508" s="143" t="n">
        <f aca="false">'🤖 Reka Flash'!E13</f>
        <v>0.1631578947</v>
      </c>
      <c r="E508" s="129" t="n">
        <f aca="false">'🤖 Reka Flash'!F13</f>
        <v>4</v>
      </c>
      <c r="F508" s="129" t="n">
        <f aca="false">'🤖 Reka Flash'!G13</f>
        <v>3</v>
      </c>
      <c r="G508" s="129" t="n">
        <f aca="false">'🤖 Reka Flash'!H13</f>
        <v>5</v>
      </c>
      <c r="H508" s="129" t="n">
        <f aca="false">'🤖 Reka Flash'!I13</f>
        <v>5</v>
      </c>
      <c r="I508" s="129" t="n">
        <f aca="false">'🤖 Reka Flash'!J13</f>
        <v>4</v>
      </c>
    </row>
    <row r="509" customFormat="false" ht="15.75" hidden="false" customHeight="false" outlineLevel="0" collapsed="false">
      <c r="A509" s="128" t="str">
        <f aca="false">'🤖 Reka Flash'!$A$12</f>
        <v>https://www.berria.eus/bizigiro/tradizioa-eta-abangoardia_2126379_102.html</v>
      </c>
      <c r="B509" s="4" t="s">
        <v>23</v>
      </c>
      <c r="C509" s="129" t="str">
        <f aca="false">'🤖 Reka Flash'!C14</f>
        <v>5W1H</v>
      </c>
      <c r="D509" s="142" t="n">
        <f aca="false">'🤖 Reka Flash'!E14</f>
        <v>0.2526315789</v>
      </c>
      <c r="E509" s="129" t="n">
        <f aca="false">'🤖 Reka Flash'!F14</f>
        <v>3</v>
      </c>
      <c r="F509" s="129" t="n">
        <f aca="false">'🤖 Reka Flash'!G14</f>
        <v>5</v>
      </c>
      <c r="G509" s="129" t="n">
        <f aca="false">'🤖 Reka Flash'!H14</f>
        <v>4</v>
      </c>
      <c r="H509" s="129" t="n">
        <f aca="false">'🤖 Reka Flash'!I14</f>
        <v>4</v>
      </c>
      <c r="I509" s="129" t="n">
        <f aca="false">'🤖 Reka Flash'!J14</f>
        <v>5</v>
      </c>
    </row>
    <row r="510" customFormat="false" ht="15.75" hidden="false" customHeight="false" outlineLevel="0" collapsed="false">
      <c r="A510" s="128" t="str">
        <f aca="false">'🤖 Reka Flash'!$A$12</f>
        <v>https://www.berria.eus/bizigiro/tradizioa-eta-abangoardia_2126379_102.html</v>
      </c>
      <c r="B510" s="4" t="s">
        <v>23</v>
      </c>
      <c r="C510" s="129" t="str">
        <f aca="false">'🤖 Reka Flash'!C15</f>
        <v>tldr</v>
      </c>
      <c r="D510" s="155" t="n">
        <f aca="false">'🤖 Reka Flash'!E15</f>
        <v>0.1447368421</v>
      </c>
      <c r="E510" s="129" t="n">
        <f aca="false">'🤖 Reka Flash'!F15</f>
        <v>4</v>
      </c>
      <c r="F510" s="129" t="n">
        <f aca="false">'🤖 Reka Flash'!G15</f>
        <v>5</v>
      </c>
      <c r="G510" s="129" t="n">
        <f aca="false">'🤖 Reka Flash'!H15</f>
        <v>5</v>
      </c>
      <c r="H510" s="129" t="n">
        <f aca="false">'🤖 Reka Flash'!I15</f>
        <v>5</v>
      </c>
      <c r="I510" s="129" t="n">
        <f aca="false">'🤖 Reka Flash'!J15</f>
        <v>5</v>
      </c>
    </row>
    <row r="511" customFormat="false" ht="15.75" hidden="false" customHeight="false" outlineLevel="0" collapsed="false">
      <c r="A511" s="9"/>
      <c r="B511" s="9"/>
      <c r="C511" s="51"/>
      <c r="D511" s="9"/>
      <c r="E511" s="51"/>
      <c r="F511" s="51"/>
      <c r="G511" s="51"/>
      <c r="H511" s="51"/>
      <c r="I511" s="51"/>
    </row>
    <row r="512" customFormat="false" ht="15.75" hidden="false" customHeight="false" outlineLevel="0" collapsed="false">
      <c r="A512" s="128" t="str">
        <f aca="false">'🤖 Reka Flash'!$A$17</f>
        <v>https://www.berria.eus/mundua/nbek-43-mila-milioi-euro-eskatu-ditu-datorren-urtean-laguntza-humanitarioa-bermatzeko_2117704_102.html</v>
      </c>
      <c r="B512" s="4" t="s">
        <v>23</v>
      </c>
      <c r="C512" s="129" t="str">
        <f aca="false">'🤖 Reka Flash'!C17</f>
        <v>Base</v>
      </c>
      <c r="D512" s="157" t="n">
        <f aca="false">'🤖 Reka Flash'!E17</f>
        <v>0.1363636364</v>
      </c>
      <c r="E512" s="129" t="n">
        <f aca="false">'🤖 Reka Flash'!F17</f>
        <v>4</v>
      </c>
      <c r="F512" s="129" t="n">
        <f aca="false">'🤖 Reka Flash'!G17</f>
        <v>5</v>
      </c>
      <c r="G512" s="129" t="n">
        <f aca="false">'🤖 Reka Flash'!H17</f>
        <v>3</v>
      </c>
      <c r="H512" s="129" t="n">
        <f aca="false">'🤖 Reka Flash'!I17</f>
        <v>5</v>
      </c>
      <c r="I512" s="129" t="n">
        <f aca="false">'🤖 Reka Flash'!J17</f>
        <v>5</v>
      </c>
    </row>
    <row r="513" customFormat="false" ht="15.75" hidden="false" customHeight="false" outlineLevel="0" collapsed="false">
      <c r="A513" s="128" t="str">
        <f aca="false">'🤖 Reka Flash'!$A$17</f>
        <v>https://www.berria.eus/mundua/nbek-43-mila-milioi-euro-eskatu-ditu-datorren-urtean-laguntza-humanitarioa-bermatzeko_2117704_102.html</v>
      </c>
      <c r="B513" s="4" t="s">
        <v>23</v>
      </c>
      <c r="C513" s="129" t="str">
        <f aca="false">'🤖 Reka Flash'!C18</f>
        <v>CoT</v>
      </c>
      <c r="D513" s="158" t="n">
        <f aca="false">'🤖 Reka Flash'!E18</f>
        <v>0.2255244755</v>
      </c>
      <c r="E513" s="129" t="n">
        <f aca="false">'🤖 Reka Flash'!F18</f>
        <v>3</v>
      </c>
      <c r="F513" s="129" t="n">
        <f aca="false">'🤖 Reka Flash'!G18</f>
        <v>2</v>
      </c>
      <c r="G513" s="129" t="n">
        <f aca="false">'🤖 Reka Flash'!H18</f>
        <v>3</v>
      </c>
      <c r="H513" s="129" t="n">
        <f aca="false">'🤖 Reka Flash'!I18</f>
        <v>3</v>
      </c>
      <c r="I513" s="129" t="n">
        <f aca="false">'🤖 Reka Flash'!J18</f>
        <v>5</v>
      </c>
    </row>
    <row r="514" customFormat="false" ht="15.75" hidden="false" customHeight="false" outlineLevel="0" collapsed="false">
      <c r="A514" s="128" t="str">
        <f aca="false">'🤖 Reka Flash'!$A$17</f>
        <v>https://www.berria.eus/mundua/nbek-43-mila-milioi-euro-eskatu-ditu-datorren-urtean-laguntza-humanitarioa-bermatzeko_2117704_102.html</v>
      </c>
      <c r="B514" s="4" t="s">
        <v>23</v>
      </c>
      <c r="C514" s="129" t="str">
        <f aca="false">'🤖 Reka Flash'!C19</f>
        <v>5W1H</v>
      </c>
      <c r="D514" s="130" t="n">
        <f aca="false">'🤖 Reka Flash'!E19</f>
        <v>0.2045454545</v>
      </c>
      <c r="E514" s="129" t="n">
        <f aca="false">'🤖 Reka Flash'!F19</f>
        <v>3</v>
      </c>
      <c r="F514" s="129" t="n">
        <f aca="false">'🤖 Reka Flash'!G19</f>
        <v>4</v>
      </c>
      <c r="G514" s="129" t="n">
        <f aca="false">'🤖 Reka Flash'!H19</f>
        <v>4</v>
      </c>
      <c r="H514" s="129" t="n">
        <f aca="false">'🤖 Reka Flash'!I19</f>
        <v>5</v>
      </c>
      <c r="I514" s="129" t="n">
        <f aca="false">'🤖 Reka Flash'!J19</f>
        <v>5</v>
      </c>
    </row>
    <row r="515" customFormat="false" ht="15.75" hidden="false" customHeight="false" outlineLevel="0" collapsed="false">
      <c r="A515" s="128" t="str">
        <f aca="false">'🤖 Reka Flash'!$A$17</f>
        <v>https://www.berria.eus/mundua/nbek-43-mila-milioi-euro-eskatu-ditu-datorren-urtean-laguntza-humanitarioa-bermatzeko_2117704_102.html</v>
      </c>
      <c r="B515" s="4" t="s">
        <v>23</v>
      </c>
      <c r="C515" s="129" t="str">
        <f aca="false">'🤖 Reka Flash'!C20</f>
        <v>tldr</v>
      </c>
      <c r="D515" s="135" t="n">
        <f aca="false">'🤖 Reka Flash'!E20</f>
        <v>0.2237762238</v>
      </c>
      <c r="E515" s="129" t="n">
        <f aca="false">'🤖 Reka Flash'!F20</f>
        <v>5</v>
      </c>
      <c r="F515" s="129" t="n">
        <f aca="false">'🤖 Reka Flash'!G20</f>
        <v>4</v>
      </c>
      <c r="G515" s="129" t="n">
        <f aca="false">'🤖 Reka Flash'!H20</f>
        <v>3</v>
      </c>
      <c r="H515" s="129" t="n">
        <f aca="false">'🤖 Reka Flash'!I20</f>
        <v>4</v>
      </c>
      <c r="I515" s="129" t="n">
        <f aca="false">'🤖 Reka Flash'!J20</f>
        <v>5</v>
      </c>
    </row>
    <row r="516" customFormat="false" ht="15.75" hidden="false" customHeight="false" outlineLevel="0" collapsed="false">
      <c r="A516" s="9"/>
      <c r="B516" s="9"/>
      <c r="C516" s="51"/>
      <c r="D516" s="9"/>
      <c r="E516" s="51"/>
      <c r="F516" s="51"/>
      <c r="G516" s="51"/>
      <c r="H516" s="51"/>
      <c r="I516" s="51"/>
    </row>
    <row r="517" customFormat="false" ht="15.75" hidden="false" customHeight="false" outlineLevel="0" collapsed="false">
      <c r="A517" s="128" t="str">
        <f aca="false">'🤖 Reka Flash'!$A$22</f>
        <v>https://www.berria.eus/kultura/umeak-amari-eman-dio-bidea_2124508_102.html</v>
      </c>
      <c r="B517" s="4" t="s">
        <v>23</v>
      </c>
      <c r="C517" s="129" t="str">
        <f aca="false">'🤖 Reka Flash'!C22</f>
        <v>Base</v>
      </c>
      <c r="D517" s="136" t="n">
        <f aca="false">'🤖 Reka Flash'!E22</f>
        <v>0.1344086022</v>
      </c>
      <c r="E517" s="129" t="n">
        <f aca="false">'🤖 Reka Flash'!F22</f>
        <v>3</v>
      </c>
      <c r="F517" s="129" t="n">
        <f aca="false">'🤖 Reka Flash'!G22</f>
        <v>3</v>
      </c>
      <c r="G517" s="129" t="n">
        <f aca="false">'🤖 Reka Flash'!H22</f>
        <v>4</v>
      </c>
      <c r="H517" s="129" t="n">
        <f aca="false">'🤖 Reka Flash'!I22</f>
        <v>4</v>
      </c>
      <c r="I517" s="129" t="n">
        <f aca="false">'🤖 Reka Flash'!J22</f>
        <v>3</v>
      </c>
    </row>
    <row r="518" customFormat="false" ht="15.75" hidden="false" customHeight="false" outlineLevel="0" collapsed="false">
      <c r="A518" s="128" t="str">
        <f aca="false">'🤖 Reka Flash'!$A$22</f>
        <v>https://www.berria.eus/kultura/umeak-amari-eman-dio-bidea_2124508_102.html</v>
      </c>
      <c r="B518" s="4" t="s">
        <v>23</v>
      </c>
      <c r="C518" s="129" t="str">
        <f aca="false">'🤖 Reka Flash'!C23</f>
        <v>CoT</v>
      </c>
      <c r="D518" s="143" t="n">
        <f aca="false">'🤖 Reka Flash'!E23</f>
        <v>0.1971326165</v>
      </c>
      <c r="E518" s="129" t="n">
        <f aca="false">'🤖 Reka Flash'!F23</f>
        <v>3</v>
      </c>
      <c r="F518" s="129" t="n">
        <f aca="false">'🤖 Reka Flash'!G23</f>
        <v>4</v>
      </c>
      <c r="G518" s="129" t="n">
        <f aca="false">'🤖 Reka Flash'!H23</f>
        <v>5</v>
      </c>
      <c r="H518" s="129" t="n">
        <f aca="false">'🤖 Reka Flash'!I23</f>
        <v>4</v>
      </c>
      <c r="I518" s="129" t="n">
        <f aca="false">'🤖 Reka Flash'!J23</f>
        <v>3</v>
      </c>
    </row>
    <row r="519" customFormat="false" ht="15.75" hidden="false" customHeight="false" outlineLevel="0" collapsed="false">
      <c r="A519" s="128" t="str">
        <f aca="false">'🤖 Reka Flash'!$A$22</f>
        <v>https://www.berria.eus/kultura/umeak-amari-eman-dio-bidea_2124508_102.html</v>
      </c>
      <c r="B519" s="4" t="s">
        <v>23</v>
      </c>
      <c r="C519" s="129" t="str">
        <f aca="false">'🤖 Reka Flash'!C24</f>
        <v>5W1H</v>
      </c>
      <c r="D519" s="136" t="n">
        <f aca="false">'🤖 Reka Flash'!E24</f>
        <v>0.1935483871</v>
      </c>
      <c r="E519" s="129" t="n">
        <f aca="false">'🤖 Reka Flash'!F24</f>
        <v>3</v>
      </c>
      <c r="F519" s="129" t="n">
        <f aca="false">'🤖 Reka Flash'!G24</f>
        <v>5</v>
      </c>
      <c r="G519" s="129" t="n">
        <f aca="false">'🤖 Reka Flash'!H24</f>
        <v>5</v>
      </c>
      <c r="H519" s="129" t="n">
        <f aca="false">'🤖 Reka Flash'!I24</f>
        <v>4</v>
      </c>
      <c r="I519" s="129" t="n">
        <f aca="false">'🤖 Reka Flash'!J24</f>
        <v>5</v>
      </c>
    </row>
    <row r="520" customFormat="false" ht="15.75" hidden="false" customHeight="false" outlineLevel="0" collapsed="false">
      <c r="A520" s="128" t="str">
        <f aca="false">'🤖 Reka Flash'!$A$22</f>
        <v>https://www.berria.eus/kultura/umeak-amari-eman-dio-bidea_2124508_102.html</v>
      </c>
      <c r="B520" s="4" t="s">
        <v>23</v>
      </c>
      <c r="C520" s="129" t="str">
        <f aca="false">'🤖 Reka Flash'!C25</f>
        <v>tldr</v>
      </c>
      <c r="D520" s="152" t="n">
        <f aca="false">'🤖 Reka Flash'!E25</f>
        <v>0.146953405</v>
      </c>
      <c r="E520" s="129" t="n">
        <f aca="false">'🤖 Reka Flash'!F25</f>
        <v>4</v>
      </c>
      <c r="F520" s="129" t="n">
        <f aca="false">'🤖 Reka Flash'!G25</f>
        <v>3</v>
      </c>
      <c r="G520" s="129" t="n">
        <f aca="false">'🤖 Reka Flash'!H25</f>
        <v>4</v>
      </c>
      <c r="H520" s="129" t="n">
        <f aca="false">'🤖 Reka Flash'!I25</f>
        <v>5</v>
      </c>
      <c r="I520" s="129" t="n">
        <f aca="false">'🤖 Reka Flash'!J25</f>
        <v>3</v>
      </c>
    </row>
    <row r="521" customFormat="false" ht="15.75" hidden="false" customHeight="false" outlineLevel="0" collapsed="false">
      <c r="A521" s="9"/>
      <c r="B521" s="9"/>
      <c r="C521" s="51"/>
      <c r="D521" s="9"/>
      <c r="E521" s="51"/>
      <c r="F521" s="51"/>
      <c r="G521" s="51"/>
      <c r="H521" s="51"/>
      <c r="I521" s="51"/>
    </row>
    <row r="522" customFormat="false" ht="15.75" hidden="false" customHeight="false" outlineLevel="0" collapsed="false">
      <c r="A522" s="128" t="str">
        <f aca="false">'🤖 Reka Flash'!$A$27</f>
        <v>https://www.berria.eus/euskal-herria/pintaketa-faxistak-egin-dituzte-irunean_2124262_102.html</v>
      </c>
      <c r="B522" s="4" t="s">
        <v>23</v>
      </c>
      <c r="C522" s="129" t="str">
        <f aca="false">'🤖 Reka Flash'!C27</f>
        <v>Base</v>
      </c>
      <c r="D522" s="177" t="n">
        <f aca="false">'🤖 Reka Flash'!E27</f>
        <v>0.4379562044</v>
      </c>
      <c r="E522" s="129" t="n">
        <f aca="false">'🤖 Reka Flash'!F27</f>
        <v>5</v>
      </c>
      <c r="F522" s="129" t="n">
        <f aca="false">'🤖 Reka Flash'!G27</f>
        <v>5</v>
      </c>
      <c r="G522" s="129" t="n">
        <f aca="false">'🤖 Reka Flash'!H27</f>
        <v>4</v>
      </c>
      <c r="H522" s="129" t="n">
        <f aca="false">'🤖 Reka Flash'!I27</f>
        <v>5</v>
      </c>
      <c r="I522" s="129" t="n">
        <f aca="false">'🤖 Reka Flash'!J27</f>
        <v>4</v>
      </c>
    </row>
    <row r="523" customFormat="false" ht="15.75" hidden="false" customHeight="false" outlineLevel="0" collapsed="false">
      <c r="A523" s="128" t="str">
        <f aca="false">'🤖 Reka Flash'!$A$27</f>
        <v>https://www.berria.eus/euskal-herria/pintaketa-faxistak-egin-dituzte-irunean_2124262_102.html</v>
      </c>
      <c r="B523" s="4" t="s">
        <v>23</v>
      </c>
      <c r="C523" s="129" t="str">
        <f aca="false">'🤖 Reka Flash'!C28</f>
        <v>CoT</v>
      </c>
      <c r="D523" s="175" t="n">
        <f aca="false">'🤖 Reka Flash'!E28</f>
        <v>0.5547445255</v>
      </c>
      <c r="E523" s="129" t="n">
        <f aca="false">'🤖 Reka Flash'!F28</f>
        <v>3</v>
      </c>
      <c r="F523" s="129" t="n">
        <f aca="false">'🤖 Reka Flash'!G28</f>
        <v>5</v>
      </c>
      <c r="G523" s="129" t="n">
        <f aca="false">'🤖 Reka Flash'!H28</f>
        <v>5</v>
      </c>
      <c r="H523" s="129" t="n">
        <f aca="false">'🤖 Reka Flash'!I28</f>
        <v>3</v>
      </c>
      <c r="I523" s="129" t="n">
        <f aca="false">'🤖 Reka Flash'!J28</f>
        <v>4</v>
      </c>
    </row>
    <row r="524" customFormat="false" ht="15.75" hidden="false" customHeight="false" outlineLevel="0" collapsed="false">
      <c r="A524" s="128" t="str">
        <f aca="false">'🤖 Reka Flash'!$A$27</f>
        <v>https://www.berria.eus/euskal-herria/pintaketa-faxistak-egin-dituzte-irunean_2124262_102.html</v>
      </c>
      <c r="B524" s="4" t="s">
        <v>23</v>
      </c>
      <c r="C524" s="129" t="str">
        <f aca="false">'🤖 Reka Flash'!C29</f>
        <v>5W1H</v>
      </c>
      <c r="D524" s="178" t="n">
        <f aca="false">'🤖 Reka Flash'!E29</f>
        <v>0.5474452555</v>
      </c>
      <c r="E524" s="129" t="n">
        <f aca="false">'🤖 Reka Flash'!F29</f>
        <v>3</v>
      </c>
      <c r="F524" s="129" t="n">
        <f aca="false">'🤖 Reka Flash'!G29</f>
        <v>5</v>
      </c>
      <c r="G524" s="129" t="n">
        <f aca="false">'🤖 Reka Flash'!H29</f>
        <v>4</v>
      </c>
      <c r="H524" s="129" t="n">
        <f aca="false">'🤖 Reka Flash'!I29</f>
        <v>4</v>
      </c>
      <c r="I524" s="129" t="n">
        <f aca="false">'🤖 Reka Flash'!J29</f>
        <v>5</v>
      </c>
    </row>
    <row r="525" customFormat="false" ht="15.75" hidden="false" customHeight="false" outlineLevel="0" collapsed="false">
      <c r="A525" s="128" t="str">
        <f aca="false">'🤖 Reka Flash'!$A$27</f>
        <v>https://www.berria.eus/euskal-herria/pintaketa-faxistak-egin-dituzte-irunean_2124262_102.html</v>
      </c>
      <c r="B525" s="4" t="s">
        <v>23</v>
      </c>
      <c r="C525" s="129" t="str">
        <f aca="false">'🤖 Reka Flash'!C30</f>
        <v>tldr</v>
      </c>
      <c r="D525" s="179" t="n">
        <f aca="false">'🤖 Reka Flash'!E30</f>
        <v>0.5328467153</v>
      </c>
      <c r="E525" s="129" t="n">
        <f aca="false">'🤖 Reka Flash'!F30</f>
        <v>4</v>
      </c>
      <c r="F525" s="129" t="n">
        <f aca="false">'🤖 Reka Flash'!G30</f>
        <v>5</v>
      </c>
      <c r="G525" s="129" t="n">
        <f aca="false">'🤖 Reka Flash'!H30</f>
        <v>3</v>
      </c>
      <c r="H525" s="129" t="n">
        <f aca="false">'🤖 Reka Flash'!I30</f>
        <v>5</v>
      </c>
      <c r="I525" s="129" t="n">
        <f aca="false">'🤖 Reka Flash'!J30</f>
        <v>4</v>
      </c>
    </row>
    <row r="526" customFormat="false" ht="15.75" hidden="false" customHeight="false" outlineLevel="0" collapsed="false">
      <c r="A526" s="9"/>
      <c r="B526" s="9"/>
      <c r="C526" s="51"/>
      <c r="D526" s="9"/>
      <c r="E526" s="51"/>
      <c r="F526" s="51"/>
      <c r="G526" s="51"/>
      <c r="H526" s="51"/>
      <c r="I526" s="51"/>
    </row>
    <row r="527" customFormat="false" ht="15.75" hidden="false" customHeight="false" outlineLevel="0" collapsed="false">
      <c r="A527" s="128" t="str">
        <f aca="false">'🤖 Reka Flash'!$A$32</f>
        <v>https://www.berria.eus/ekonomia/eolikoen-arlorako-laguntzetan-orain-halako-bi-jarriko-du-ebk-1400-milioi_1343992_102.html</v>
      </c>
      <c r="B527" s="4" t="s">
        <v>23</v>
      </c>
      <c r="C527" s="129" t="str">
        <f aca="false">'🤖 Reka Flash'!C32</f>
        <v>Base</v>
      </c>
      <c r="D527" s="160" t="n">
        <f aca="false">'🤖 Reka Flash'!E32</f>
        <v>0.4008714597</v>
      </c>
      <c r="E527" s="129" t="n">
        <f aca="false">'🤖 Reka Flash'!F32</f>
        <v>5</v>
      </c>
      <c r="F527" s="129" t="n">
        <f aca="false">'🤖 Reka Flash'!G32</f>
        <v>5</v>
      </c>
      <c r="G527" s="129" t="n">
        <f aca="false">'🤖 Reka Flash'!H32</f>
        <v>4</v>
      </c>
      <c r="H527" s="129" t="n">
        <f aca="false">'🤖 Reka Flash'!I32</f>
        <v>3</v>
      </c>
      <c r="I527" s="129" t="n">
        <f aca="false">'🤖 Reka Flash'!J32</f>
        <v>5</v>
      </c>
    </row>
    <row r="528" customFormat="false" ht="15.75" hidden="false" customHeight="false" outlineLevel="0" collapsed="false">
      <c r="A528" s="128" t="str">
        <f aca="false">'🤖 Reka Flash'!$A$32</f>
        <v>https://www.berria.eus/ekonomia/eolikoen-arlorako-laguntzetan-orain-halako-bi-jarriko-du-ebk-1400-milioi_1343992_102.html</v>
      </c>
      <c r="B528" s="4" t="s">
        <v>23</v>
      </c>
      <c r="C528" s="129" t="str">
        <f aca="false">'🤖 Reka Flash'!C33</f>
        <v>CoT</v>
      </c>
      <c r="D528" s="171" t="n">
        <f aca="false">'🤖 Reka Flash'!E33</f>
        <v>0.1917211329</v>
      </c>
      <c r="E528" s="129" t="n">
        <f aca="false">'🤖 Reka Flash'!F33</f>
        <v>3</v>
      </c>
      <c r="F528" s="129" t="n">
        <f aca="false">'🤖 Reka Flash'!G33</f>
        <v>5</v>
      </c>
      <c r="G528" s="129" t="n">
        <f aca="false">'🤖 Reka Flash'!H33</f>
        <v>5</v>
      </c>
      <c r="H528" s="129" t="n">
        <f aca="false">'🤖 Reka Flash'!I33</f>
        <v>3</v>
      </c>
      <c r="I528" s="129" t="n">
        <f aca="false">'🤖 Reka Flash'!J33</f>
        <v>3</v>
      </c>
    </row>
    <row r="529" customFormat="false" ht="15.75" hidden="false" customHeight="false" outlineLevel="0" collapsed="false">
      <c r="A529" s="128" t="str">
        <f aca="false">'🤖 Reka Flash'!$A$32</f>
        <v>https://www.berria.eus/ekonomia/eolikoen-arlorako-laguntzetan-orain-halako-bi-jarriko-du-ebk-1400-milioi_1343992_102.html</v>
      </c>
      <c r="B529" s="4" t="s">
        <v>23</v>
      </c>
      <c r="C529" s="129" t="str">
        <f aca="false">'🤖 Reka Flash'!C34</f>
        <v>5W1H</v>
      </c>
      <c r="D529" s="161" t="n">
        <f aca="false">'🤖 Reka Flash'!E34</f>
        <v>0.3529411765</v>
      </c>
      <c r="E529" s="129" t="n">
        <f aca="false">'🤖 Reka Flash'!F34</f>
        <v>3</v>
      </c>
      <c r="F529" s="129" t="n">
        <f aca="false">'🤖 Reka Flash'!G34</f>
        <v>5</v>
      </c>
      <c r="G529" s="129" t="n">
        <f aca="false">'🤖 Reka Flash'!H34</f>
        <v>3</v>
      </c>
      <c r="H529" s="129" t="n">
        <f aca="false">'🤖 Reka Flash'!I34</f>
        <v>3</v>
      </c>
      <c r="I529" s="129" t="n">
        <f aca="false">'🤖 Reka Flash'!J34</f>
        <v>4</v>
      </c>
    </row>
    <row r="530" customFormat="false" ht="15.75" hidden="false" customHeight="false" outlineLevel="0" collapsed="false">
      <c r="A530" s="128" t="str">
        <f aca="false">'🤖 Reka Flash'!$A$32</f>
        <v>https://www.berria.eus/ekonomia/eolikoen-arlorako-laguntzetan-orain-halako-bi-jarriko-du-ebk-1400-milioi_1343992_102.html</v>
      </c>
      <c r="B530" s="4" t="s">
        <v>23</v>
      </c>
      <c r="C530" s="129" t="str">
        <f aca="false">'🤖 Reka Flash'!C35</f>
        <v>tldr</v>
      </c>
      <c r="D530" s="164" t="n">
        <f aca="false">'🤖 Reka Flash'!E35</f>
        <v>0.1198257081</v>
      </c>
      <c r="E530" s="129" t="n">
        <f aca="false">'🤖 Reka Flash'!F35</f>
        <v>5</v>
      </c>
      <c r="F530" s="129" t="n">
        <f aca="false">'🤖 Reka Flash'!G35</f>
        <v>5</v>
      </c>
      <c r="G530" s="129" t="n">
        <f aca="false">'🤖 Reka Flash'!H35</f>
        <v>4</v>
      </c>
      <c r="H530" s="129" t="n">
        <f aca="false">'🤖 Reka Flash'!I35</f>
        <v>5</v>
      </c>
      <c r="I530" s="129" t="n">
        <f aca="false">'🤖 Reka Flash'!J35</f>
        <v>3</v>
      </c>
    </row>
    <row r="531" customFormat="false" ht="15.75" hidden="false" customHeight="false" outlineLevel="0" collapsed="false">
      <c r="A531" s="9"/>
      <c r="B531" s="9"/>
      <c r="C531" s="51"/>
      <c r="D531" s="9"/>
      <c r="E531" s="51"/>
      <c r="F531" s="51"/>
      <c r="G531" s="51"/>
      <c r="H531" s="51"/>
      <c r="I531" s="51"/>
    </row>
    <row r="532" customFormat="false" ht="15.75" hidden="false" customHeight="false" outlineLevel="0" collapsed="false">
      <c r="A532" s="128" t="str">
        <f aca="false">'🤖 Reka Flash'!$A$37</f>
        <v>https://www.berria.eus/kultura/itsasun-egingo-dute-irailekoak-poesia-jaialdia-aurten_2125293_102.html</v>
      </c>
      <c r="B532" s="4" t="s">
        <v>23</v>
      </c>
      <c r="C532" s="129" t="str">
        <f aca="false">'🤖 Reka Flash'!C37</f>
        <v>Base</v>
      </c>
      <c r="D532" s="157" t="n">
        <f aca="false">'🤖 Reka Flash'!E37</f>
        <v>0.3913043478</v>
      </c>
      <c r="E532" s="129" t="n">
        <f aca="false">'🤖 Reka Flash'!F37</f>
        <v>4</v>
      </c>
      <c r="F532" s="129" t="n">
        <f aca="false">'🤖 Reka Flash'!G37</f>
        <v>5</v>
      </c>
      <c r="G532" s="129" t="n">
        <f aca="false">'🤖 Reka Flash'!H37</f>
        <v>4</v>
      </c>
      <c r="H532" s="129" t="n">
        <f aca="false">'🤖 Reka Flash'!I37</f>
        <v>5</v>
      </c>
      <c r="I532" s="129" t="n">
        <f aca="false">'🤖 Reka Flash'!J37</f>
        <v>5</v>
      </c>
    </row>
    <row r="533" customFormat="false" ht="15.75" hidden="false" customHeight="false" outlineLevel="0" collapsed="false">
      <c r="A533" s="128" t="str">
        <f aca="false">'🤖 Reka Flash'!$A$37</f>
        <v>https://www.berria.eus/kultura/itsasun-egingo-dute-irailekoak-poesia-jaialdia-aurten_2125293_102.html</v>
      </c>
      <c r="B533" s="4" t="s">
        <v>23</v>
      </c>
      <c r="C533" s="129" t="str">
        <f aca="false">'🤖 Reka Flash'!C38</f>
        <v>CoT</v>
      </c>
      <c r="D533" s="152" t="n">
        <f aca="false">'🤖 Reka Flash'!E38</f>
        <v>0.3850931677</v>
      </c>
      <c r="E533" s="129" t="n">
        <f aca="false">'🤖 Reka Flash'!F38</f>
        <v>4</v>
      </c>
      <c r="F533" s="129" t="n">
        <f aca="false">'🤖 Reka Flash'!G38</f>
        <v>3</v>
      </c>
      <c r="G533" s="129" t="n">
        <f aca="false">'🤖 Reka Flash'!H38</f>
        <v>4</v>
      </c>
      <c r="H533" s="129" t="n">
        <f aca="false">'🤖 Reka Flash'!I38</f>
        <v>5</v>
      </c>
      <c r="I533" s="129" t="n">
        <f aca="false">'🤖 Reka Flash'!J38</f>
        <v>5</v>
      </c>
    </row>
    <row r="534" customFormat="false" ht="15.75" hidden="false" customHeight="false" outlineLevel="0" collapsed="false">
      <c r="A534" s="128" t="str">
        <f aca="false">'🤖 Reka Flash'!$A$37</f>
        <v>https://www.berria.eus/kultura/itsasun-egingo-dute-irailekoak-poesia-jaialdia-aurten_2125293_102.html</v>
      </c>
      <c r="B534" s="4" t="s">
        <v>23</v>
      </c>
      <c r="C534" s="129" t="str">
        <f aca="false">'🤖 Reka Flash'!C39</f>
        <v>5W1H</v>
      </c>
      <c r="D534" s="180" t="n">
        <f aca="false">'🤖 Reka Flash'!E39</f>
        <v>0.2795031056</v>
      </c>
      <c r="E534" s="129" t="n">
        <f aca="false">'🤖 Reka Flash'!F39</f>
        <v>3</v>
      </c>
      <c r="F534" s="129" t="n">
        <f aca="false">'🤖 Reka Flash'!G39</f>
        <v>5</v>
      </c>
      <c r="G534" s="129" t="n">
        <f aca="false">'🤖 Reka Flash'!H39</f>
        <v>4</v>
      </c>
      <c r="H534" s="129" t="n">
        <f aca="false">'🤖 Reka Flash'!I39</f>
        <v>5</v>
      </c>
      <c r="I534" s="129" t="n">
        <f aca="false">'🤖 Reka Flash'!J39</f>
        <v>5</v>
      </c>
    </row>
    <row r="535" customFormat="false" ht="15.75" hidden="false" customHeight="false" outlineLevel="0" collapsed="false">
      <c r="A535" s="128" t="str">
        <f aca="false">'🤖 Reka Flash'!$A$37</f>
        <v>https://www.berria.eus/kultura/itsasun-egingo-dute-irailekoak-poesia-jaialdia-aurten_2125293_102.html</v>
      </c>
      <c r="B535" s="4" t="s">
        <v>23</v>
      </c>
      <c r="C535" s="129" t="str">
        <f aca="false">'🤖 Reka Flash'!C40</f>
        <v>tldr</v>
      </c>
      <c r="D535" s="149" t="n">
        <f aca="false">'🤖 Reka Flash'!E40</f>
        <v>0.4161490683</v>
      </c>
      <c r="E535" s="129" t="n">
        <f aca="false">'🤖 Reka Flash'!F40</f>
        <v>4</v>
      </c>
      <c r="F535" s="129" t="n">
        <f aca="false">'🤖 Reka Flash'!G40</f>
        <v>5</v>
      </c>
      <c r="G535" s="129" t="n">
        <f aca="false">'🤖 Reka Flash'!H40</f>
        <v>3</v>
      </c>
      <c r="H535" s="129" t="n">
        <f aca="false">'🤖 Reka Flash'!I40</f>
        <v>5</v>
      </c>
      <c r="I535" s="129" t="n">
        <f aca="false">'🤖 Reka Flash'!J40</f>
        <v>5</v>
      </c>
    </row>
    <row r="536" customFormat="false" ht="15.75" hidden="false" customHeight="false" outlineLevel="0" collapsed="false">
      <c r="A536" s="9"/>
      <c r="B536" s="9"/>
      <c r="C536" s="51"/>
      <c r="D536" s="9"/>
      <c r="E536" s="51"/>
      <c r="F536" s="51"/>
      <c r="G536" s="51"/>
      <c r="H536" s="51"/>
      <c r="I536" s="51"/>
    </row>
    <row r="537" customFormat="false" ht="15.75" hidden="false" customHeight="false" outlineLevel="0" collapsed="false">
      <c r="A537" s="128" t="str">
        <f aca="false">'🤖 Reka Flash'!$A$42</f>
        <v>https://www.berria.eus/kultura/nolabaiteko-kontrarreforma-bat-gertatzen-ari-da-eta-horren-aurrean-elkartu-beharra-daukagu_2124481_102.html</v>
      </c>
      <c r="B537" s="4" t="s">
        <v>23</v>
      </c>
      <c r="C537" s="129" t="str">
        <f aca="false">'🤖 Reka Flash'!C42</f>
        <v>Base</v>
      </c>
      <c r="D537" s="181" t="n">
        <f aca="false">'🤖 Reka Flash'!E42</f>
        <v>0.1812400636</v>
      </c>
      <c r="E537" s="129" t="n">
        <f aca="false">'🤖 Reka Flash'!F42</f>
        <v>4</v>
      </c>
      <c r="F537" s="129" t="n">
        <f aca="false">'🤖 Reka Flash'!G42</f>
        <v>3</v>
      </c>
      <c r="G537" s="129" t="n">
        <f aca="false">'🤖 Reka Flash'!H42</f>
        <v>4</v>
      </c>
      <c r="H537" s="129" t="n">
        <f aca="false">'🤖 Reka Flash'!I42</f>
        <v>4</v>
      </c>
      <c r="I537" s="129" t="n">
        <f aca="false">'🤖 Reka Flash'!J42</f>
        <v>5</v>
      </c>
    </row>
    <row r="538" customFormat="false" ht="15.75" hidden="false" customHeight="false" outlineLevel="0" collapsed="false">
      <c r="A538" s="128" t="str">
        <f aca="false">'🤖 Reka Flash'!$A$42</f>
        <v>https://www.berria.eus/kultura/nolabaiteko-kontrarreforma-bat-gertatzen-ari-da-eta-horren-aurrean-elkartu-beharra-daukagu_2124481_102.html</v>
      </c>
      <c r="B538" s="4" t="s">
        <v>23</v>
      </c>
      <c r="C538" s="129" t="str">
        <f aca="false">'🤖 Reka Flash'!C43</f>
        <v>CoT</v>
      </c>
      <c r="D538" s="133" t="n">
        <f aca="false">'🤖 Reka Flash'!E43</f>
        <v>0.146263911</v>
      </c>
      <c r="E538" s="129" t="n">
        <f aca="false">'🤖 Reka Flash'!F43</f>
        <v>3</v>
      </c>
      <c r="F538" s="129" t="n">
        <f aca="false">'🤖 Reka Flash'!G43</f>
        <v>5</v>
      </c>
      <c r="G538" s="129" t="n">
        <f aca="false">'🤖 Reka Flash'!H43</f>
        <v>5</v>
      </c>
      <c r="H538" s="129" t="n">
        <f aca="false">'🤖 Reka Flash'!I43</f>
        <v>3</v>
      </c>
      <c r="I538" s="129" t="n">
        <f aca="false">'🤖 Reka Flash'!J43</f>
        <v>4</v>
      </c>
    </row>
    <row r="539" customFormat="false" ht="15.75" hidden="false" customHeight="false" outlineLevel="0" collapsed="false">
      <c r="A539" s="128" t="str">
        <f aca="false">'🤖 Reka Flash'!$A$42</f>
        <v>https://www.berria.eus/kultura/nolabaiteko-kontrarreforma-bat-gertatzen-ari-da-eta-horren-aurrean-elkartu-beharra-daukagu_2124481_102.html</v>
      </c>
      <c r="B539" s="4" t="s">
        <v>23</v>
      </c>
      <c r="C539" s="129" t="str">
        <f aca="false">'🤖 Reka Flash'!C44</f>
        <v>5W1H</v>
      </c>
      <c r="D539" s="182" t="n">
        <f aca="false">'🤖 Reka Flash'!E44</f>
        <v>0.1240063593</v>
      </c>
      <c r="E539" s="129" t="n">
        <f aca="false">'🤖 Reka Flash'!F44</f>
        <v>3</v>
      </c>
      <c r="F539" s="129" t="n">
        <f aca="false">'🤖 Reka Flash'!G44</f>
        <v>5</v>
      </c>
      <c r="G539" s="129" t="n">
        <f aca="false">'🤖 Reka Flash'!H44</f>
        <v>4</v>
      </c>
      <c r="H539" s="129" t="n">
        <f aca="false">'🤖 Reka Flash'!I44</f>
        <v>3</v>
      </c>
      <c r="I539" s="129" t="n">
        <f aca="false">'🤖 Reka Flash'!J44</f>
        <v>5</v>
      </c>
    </row>
    <row r="540" customFormat="false" ht="15.75" hidden="false" customHeight="false" outlineLevel="0" collapsed="false">
      <c r="A540" s="128" t="str">
        <f aca="false">'🤖 Reka Flash'!$A$42</f>
        <v>https://www.berria.eus/kultura/nolabaiteko-kontrarreforma-bat-gertatzen-ari-da-eta-horren-aurrean-elkartu-beharra-daukagu_2124481_102.html</v>
      </c>
      <c r="B540" s="4" t="s">
        <v>23</v>
      </c>
      <c r="C540" s="129" t="str">
        <f aca="false">'🤖 Reka Flash'!C45</f>
        <v>tldr</v>
      </c>
      <c r="D540" s="181" t="n">
        <f aca="false">'🤖 Reka Flash'!E45</f>
        <v>0.1224165342</v>
      </c>
      <c r="E540" s="129" t="n">
        <f aca="false">'🤖 Reka Flash'!F45</f>
        <v>4</v>
      </c>
      <c r="F540" s="129" t="n">
        <f aca="false">'🤖 Reka Flash'!G45</f>
        <v>4</v>
      </c>
      <c r="G540" s="129" t="n">
        <f aca="false">'🤖 Reka Flash'!H45</f>
        <v>5</v>
      </c>
      <c r="H540" s="129" t="n">
        <f aca="false">'🤖 Reka Flash'!I45</f>
        <v>4</v>
      </c>
      <c r="I540" s="129" t="n">
        <f aca="false">'🤖 Reka Flash'!J45</f>
        <v>3</v>
      </c>
    </row>
    <row r="541" customFormat="false" ht="15.75" hidden="false" customHeight="false" outlineLevel="0" collapsed="false">
      <c r="A541" s="9"/>
      <c r="B541" s="9"/>
      <c r="C541" s="51"/>
      <c r="D541" s="9"/>
      <c r="E541" s="51"/>
      <c r="F541" s="51"/>
      <c r="G541" s="51"/>
      <c r="H541" s="51"/>
      <c r="I541" s="51"/>
    </row>
    <row r="542" customFormat="false" ht="15.75" hidden="false" customHeight="false" outlineLevel="0" collapsed="false">
      <c r="A542" s="128" t="str">
        <f aca="false">'🤖 Reka Flash'!$A$47</f>
        <v>https://www.berria.eus/euskal-herria/ortuzarrek-dio-eajk-euskadiko-estatus-berriari-bultzada-eman-nahi-diola_2124257_102.html</v>
      </c>
      <c r="B542" s="4" t="s">
        <v>23</v>
      </c>
      <c r="C542" s="129" t="str">
        <f aca="false">'🤖 Reka Flash'!C47</f>
        <v>Base</v>
      </c>
      <c r="D542" s="175" t="n">
        <f aca="false">'🤖 Reka Flash'!E47</f>
        <v>0.1520912548</v>
      </c>
      <c r="E542" s="129" t="n">
        <f aca="false">'🤖 Reka Flash'!F47</f>
        <v>4</v>
      </c>
      <c r="F542" s="129" t="n">
        <f aca="false">'🤖 Reka Flash'!G47</f>
        <v>5</v>
      </c>
      <c r="G542" s="129" t="n">
        <f aca="false">'🤖 Reka Flash'!H47</f>
        <v>3</v>
      </c>
      <c r="H542" s="129" t="n">
        <f aca="false">'🤖 Reka Flash'!I47</f>
        <v>5</v>
      </c>
      <c r="I542" s="129" t="n">
        <f aca="false">'🤖 Reka Flash'!J47</f>
        <v>4</v>
      </c>
    </row>
    <row r="543" customFormat="false" ht="15.75" hidden="false" customHeight="false" outlineLevel="0" collapsed="false">
      <c r="A543" s="128" t="str">
        <f aca="false">'🤖 Reka Flash'!$A$47</f>
        <v>https://www.berria.eus/euskal-herria/ortuzarrek-dio-eajk-euskadiko-estatus-berriari-bultzada-eman-nahi-diola_2124257_102.html</v>
      </c>
      <c r="B543" s="4" t="s">
        <v>23</v>
      </c>
      <c r="C543" s="129" t="str">
        <f aca="false">'🤖 Reka Flash'!C48</f>
        <v>CoT</v>
      </c>
      <c r="D543" s="132" t="n">
        <f aca="false">'🤖 Reka Flash'!E48</f>
        <v>0.3212927757</v>
      </c>
      <c r="E543" s="129" t="n">
        <f aca="false">'🤖 Reka Flash'!F48</f>
        <v>5</v>
      </c>
      <c r="F543" s="129" t="n">
        <f aca="false">'🤖 Reka Flash'!G48</f>
        <v>5</v>
      </c>
      <c r="G543" s="129" t="n">
        <f aca="false">'🤖 Reka Flash'!H48</f>
        <v>3</v>
      </c>
      <c r="H543" s="129" t="n">
        <f aca="false">'🤖 Reka Flash'!I48</f>
        <v>3</v>
      </c>
      <c r="I543" s="129" t="n">
        <f aca="false">'🤖 Reka Flash'!J48</f>
        <v>5</v>
      </c>
    </row>
    <row r="544" customFormat="false" ht="15.75" hidden="false" customHeight="false" outlineLevel="0" collapsed="false">
      <c r="A544" s="128" t="str">
        <f aca="false">'🤖 Reka Flash'!$A$47</f>
        <v>https://www.berria.eus/euskal-herria/ortuzarrek-dio-eajk-euskadiko-estatus-berriari-bultzada-eman-nahi-diola_2124257_102.html</v>
      </c>
      <c r="B544" s="4" t="s">
        <v>23</v>
      </c>
      <c r="C544" s="129" t="str">
        <f aca="false">'🤖 Reka Flash'!C49</f>
        <v>5W1H</v>
      </c>
      <c r="D544" s="134" t="n">
        <f aca="false">'🤖 Reka Flash'!E49</f>
        <v>0.2490494297</v>
      </c>
      <c r="E544" s="129" t="n">
        <f aca="false">'🤖 Reka Flash'!F49</f>
        <v>2</v>
      </c>
      <c r="F544" s="129" t="n">
        <f aca="false">'🤖 Reka Flash'!G49</f>
        <v>5</v>
      </c>
      <c r="G544" s="129" t="n">
        <f aca="false">'🤖 Reka Flash'!H49</f>
        <v>5</v>
      </c>
      <c r="H544" s="129" t="n">
        <f aca="false">'🤖 Reka Flash'!I49</f>
        <v>3</v>
      </c>
      <c r="I544" s="129" t="n">
        <f aca="false">'🤖 Reka Flash'!J49</f>
        <v>4</v>
      </c>
    </row>
    <row r="545" customFormat="false" ht="15.75" hidden="false" customHeight="false" outlineLevel="0" collapsed="false">
      <c r="A545" s="128" t="str">
        <f aca="false">'🤖 Reka Flash'!$A$47</f>
        <v>https://www.berria.eus/euskal-herria/ortuzarrek-dio-eajk-euskadiko-estatus-berriari-bultzada-eman-nahi-diola_2124257_102.html</v>
      </c>
      <c r="B545" s="4" t="s">
        <v>23</v>
      </c>
      <c r="C545" s="129" t="str">
        <f aca="false">'🤖 Reka Flash'!C50</f>
        <v>tldr</v>
      </c>
      <c r="D545" s="168" t="n">
        <f aca="false">'🤖 Reka Flash'!E50</f>
        <v>0.1406844106</v>
      </c>
      <c r="E545" s="129" t="n">
        <f aca="false">'🤖 Reka Flash'!F50</f>
        <v>4</v>
      </c>
      <c r="F545" s="129" t="n">
        <f aca="false">'🤖 Reka Flash'!G50</f>
        <v>5</v>
      </c>
      <c r="G545" s="129" t="n">
        <f aca="false">'🤖 Reka Flash'!H50</f>
        <v>3</v>
      </c>
      <c r="H545" s="129" t="n">
        <f aca="false">'🤖 Reka Flash'!I50</f>
        <v>5</v>
      </c>
      <c r="I545" s="129" t="n">
        <f aca="false">'🤖 Reka Flash'!J50</f>
        <v>5</v>
      </c>
    </row>
    <row r="546" customFormat="false" ht="15.75" hidden="false" customHeight="false" outlineLevel="0" collapsed="false">
      <c r="A546" s="128"/>
      <c r="B546" s="4"/>
      <c r="C546" s="6"/>
      <c r="D546" s="168"/>
      <c r="E546" s="6"/>
      <c r="F546" s="6"/>
      <c r="G546" s="6"/>
      <c r="H546" s="6"/>
      <c r="I546" s="6"/>
    </row>
    <row r="547" customFormat="false" ht="15.75" hidden="false" customHeight="false" outlineLevel="0" collapsed="false">
      <c r="A547" s="128" t="n">
        <f aca="false">'🤖 Reka Flash'!$A$52</f>
        <v>0</v>
      </c>
      <c r="B547" s="4" t="s">
        <v>23</v>
      </c>
      <c r="C547" s="129" t="str">
        <f aca="false">'🤖 Reka Flash'!C52</f>
        <v>Base</v>
      </c>
      <c r="D547" s="168" t="n">
        <f aca="false">'🤖 Reka Flash'!E52</f>
        <v>0.001901140684</v>
      </c>
      <c r="E547" s="129" t="n">
        <f aca="false">'🤖 Reka Flash'!F52</f>
        <v>0</v>
      </c>
      <c r="F547" s="129" t="n">
        <f aca="false">'🤖 Reka Flash'!G52</f>
        <v>0</v>
      </c>
      <c r="G547" s="129" t="n">
        <f aca="false">'🤖 Reka Flash'!H52</f>
        <v>0</v>
      </c>
      <c r="H547" s="129" t="n">
        <f aca="false">'🤖 Reka Flash'!I52</f>
        <v>0</v>
      </c>
      <c r="I547" s="129" t="n">
        <f aca="false">'🤖 Reka Flash'!J52</f>
        <v>0</v>
      </c>
    </row>
    <row r="548" customFormat="false" ht="15.75" hidden="false" customHeight="false" outlineLevel="0" collapsed="false">
      <c r="A548" s="128" t="n">
        <f aca="false">'🤖 Reka Flash'!$A$52</f>
        <v>0</v>
      </c>
      <c r="B548" s="4" t="s">
        <v>23</v>
      </c>
      <c r="C548" s="129" t="str">
        <f aca="false">'🤖 Reka Flash'!C53</f>
        <v>CoT</v>
      </c>
      <c r="D548" s="168" t="n">
        <f aca="false">'🤖 Reka Flash'!E53</f>
        <v>0.001901140684</v>
      </c>
      <c r="E548" s="129" t="n">
        <f aca="false">'🤖 Reka Flash'!F53</f>
        <v>0</v>
      </c>
      <c r="F548" s="129" t="n">
        <f aca="false">'🤖 Reka Flash'!G53</f>
        <v>0</v>
      </c>
      <c r="G548" s="129" t="n">
        <f aca="false">'🤖 Reka Flash'!H53</f>
        <v>0</v>
      </c>
      <c r="H548" s="129" t="n">
        <f aca="false">'🤖 Reka Flash'!I53</f>
        <v>0</v>
      </c>
      <c r="I548" s="129" t="n">
        <f aca="false">'🤖 Reka Flash'!J53</f>
        <v>0</v>
      </c>
    </row>
    <row r="549" customFormat="false" ht="15.75" hidden="false" customHeight="false" outlineLevel="0" collapsed="false">
      <c r="A549" s="128" t="n">
        <f aca="false">'🤖 Reka Flash'!$A$52</f>
        <v>0</v>
      </c>
      <c r="B549" s="4" t="s">
        <v>23</v>
      </c>
      <c r="C549" s="129" t="str">
        <f aca="false">'🤖 Reka Flash'!C54</f>
        <v>5W1H</v>
      </c>
      <c r="D549" s="168" t="n">
        <f aca="false">'🤖 Reka Flash'!E54</f>
        <v>0.001901140684</v>
      </c>
      <c r="E549" s="129" t="n">
        <f aca="false">'🤖 Reka Flash'!F54</f>
        <v>0</v>
      </c>
      <c r="F549" s="129" t="n">
        <f aca="false">'🤖 Reka Flash'!G54</f>
        <v>0</v>
      </c>
      <c r="G549" s="129" t="n">
        <f aca="false">'🤖 Reka Flash'!H54</f>
        <v>0</v>
      </c>
      <c r="H549" s="129" t="n">
        <f aca="false">'🤖 Reka Flash'!I54</f>
        <v>0</v>
      </c>
      <c r="I549" s="129" t="n">
        <f aca="false">'🤖 Reka Flash'!J54</f>
        <v>0</v>
      </c>
    </row>
    <row r="550" customFormat="false" ht="15.75" hidden="false" customHeight="false" outlineLevel="0" collapsed="false">
      <c r="A550" s="128" t="n">
        <f aca="false">'🤖 Reka Flash'!$A$52</f>
        <v>0</v>
      </c>
      <c r="B550" s="4" t="s">
        <v>23</v>
      </c>
      <c r="C550" s="129" t="str">
        <f aca="false">'🤖 Reka Flash'!C55</f>
        <v>tldr</v>
      </c>
      <c r="D550" s="168" t="n">
        <f aca="false">'🤖 Reka Flash'!E55</f>
        <v>0.001901140684</v>
      </c>
      <c r="E550" s="129" t="n">
        <f aca="false">'🤖 Reka Flash'!F55</f>
        <v>0</v>
      </c>
      <c r="F550" s="129" t="n">
        <f aca="false">'🤖 Reka Flash'!G55</f>
        <v>0</v>
      </c>
      <c r="G550" s="129" t="n">
        <f aca="false">'🤖 Reka Flash'!H55</f>
        <v>0</v>
      </c>
      <c r="H550" s="129" t="n">
        <f aca="false">'🤖 Reka Flash'!I55</f>
        <v>0</v>
      </c>
      <c r="I550" s="129" t="n">
        <f aca="false">'🤖 Reka Flash'!J55</f>
        <v>0</v>
      </c>
    </row>
    <row r="551" customFormat="false" ht="15.75" hidden="false" customHeight="false" outlineLevel="0" collapsed="false">
      <c r="A551" s="128"/>
      <c r="B551" s="4"/>
      <c r="C551" s="6"/>
      <c r="D551" s="168"/>
      <c r="E551" s="6"/>
      <c r="F551" s="6"/>
      <c r="G551" s="6"/>
      <c r="H551" s="6"/>
      <c r="I551" s="6"/>
    </row>
    <row r="552" customFormat="false" ht="15.75" hidden="false" customHeight="false" outlineLevel="0" collapsed="false">
      <c r="A552" s="128" t="n">
        <f aca="false">'🤖 Reka Flash'!$A$57</f>
        <v>0</v>
      </c>
      <c r="B552" s="4" t="s">
        <v>23</v>
      </c>
      <c r="C552" s="129" t="str">
        <f aca="false">'🤖 Reka Flash'!C57</f>
        <v>Base</v>
      </c>
      <c r="D552" s="168" t="n">
        <f aca="false">'🤖 Reka Flash'!E57</f>
        <v>0.001901140684</v>
      </c>
      <c r="E552" s="129" t="n">
        <f aca="false">'🤖 Reka Flash'!F57</f>
        <v>0</v>
      </c>
      <c r="F552" s="129" t="n">
        <f aca="false">'🤖 Reka Flash'!G57</f>
        <v>0</v>
      </c>
      <c r="G552" s="129" t="n">
        <f aca="false">'🤖 Reka Flash'!H57</f>
        <v>0</v>
      </c>
      <c r="H552" s="129" t="n">
        <f aca="false">'🤖 Reka Flash'!I57</f>
        <v>0</v>
      </c>
      <c r="I552" s="129" t="n">
        <f aca="false">'🤖 Reka Flash'!J57</f>
        <v>0</v>
      </c>
    </row>
    <row r="553" customFormat="false" ht="15.75" hidden="false" customHeight="false" outlineLevel="0" collapsed="false">
      <c r="A553" s="128" t="n">
        <f aca="false">'🤖 Reka Flash'!$A$57</f>
        <v>0</v>
      </c>
      <c r="B553" s="4" t="s">
        <v>23</v>
      </c>
      <c r="C553" s="129" t="str">
        <f aca="false">'🤖 Reka Flash'!C58</f>
        <v>CoT</v>
      </c>
      <c r="D553" s="168" t="n">
        <f aca="false">'🤖 Reka Flash'!E58</f>
        <v>0.001901140684</v>
      </c>
      <c r="E553" s="129" t="n">
        <f aca="false">'🤖 Reka Flash'!F58</f>
        <v>0</v>
      </c>
      <c r="F553" s="129" t="n">
        <f aca="false">'🤖 Reka Flash'!G58</f>
        <v>0</v>
      </c>
      <c r="G553" s="129" t="n">
        <f aca="false">'🤖 Reka Flash'!H58</f>
        <v>0</v>
      </c>
      <c r="H553" s="129" t="n">
        <f aca="false">'🤖 Reka Flash'!I58</f>
        <v>0</v>
      </c>
      <c r="I553" s="129" t="n">
        <f aca="false">'🤖 Reka Flash'!J58</f>
        <v>0</v>
      </c>
    </row>
    <row r="554" customFormat="false" ht="15.75" hidden="false" customHeight="false" outlineLevel="0" collapsed="false">
      <c r="A554" s="128" t="n">
        <f aca="false">'🤖 Reka Flash'!$A$57</f>
        <v>0</v>
      </c>
      <c r="B554" s="4" t="s">
        <v>23</v>
      </c>
      <c r="C554" s="129" t="str">
        <f aca="false">'🤖 Reka Flash'!C59</f>
        <v>5W1H</v>
      </c>
      <c r="D554" s="168" t="n">
        <f aca="false">'🤖 Reka Flash'!E59</f>
        <v>0.001901140684</v>
      </c>
      <c r="E554" s="129" t="n">
        <f aca="false">'🤖 Reka Flash'!F59</f>
        <v>0</v>
      </c>
      <c r="F554" s="129" t="n">
        <f aca="false">'🤖 Reka Flash'!G59</f>
        <v>0</v>
      </c>
      <c r="G554" s="129" t="n">
        <f aca="false">'🤖 Reka Flash'!H59</f>
        <v>0</v>
      </c>
      <c r="H554" s="129" t="n">
        <f aca="false">'🤖 Reka Flash'!I59</f>
        <v>0</v>
      </c>
      <c r="I554" s="129" t="n">
        <f aca="false">'🤖 Reka Flash'!J59</f>
        <v>0</v>
      </c>
    </row>
    <row r="555" customFormat="false" ht="15.75" hidden="false" customHeight="false" outlineLevel="0" collapsed="false">
      <c r="A555" s="128" t="n">
        <f aca="false">'🤖 Reka Flash'!$A$57</f>
        <v>0</v>
      </c>
      <c r="B555" s="4" t="s">
        <v>23</v>
      </c>
      <c r="C555" s="129" t="str">
        <f aca="false">'🤖 Reka Flash'!C60</f>
        <v>tldr</v>
      </c>
      <c r="D555" s="168" t="n">
        <f aca="false">'🤖 Reka Flash'!E60</f>
        <v>0.001901140684</v>
      </c>
      <c r="E555" s="129" t="n">
        <f aca="false">'🤖 Reka Flash'!F60</f>
        <v>0</v>
      </c>
      <c r="F555" s="129" t="n">
        <f aca="false">'🤖 Reka Flash'!G60</f>
        <v>0</v>
      </c>
      <c r="G555" s="129" t="n">
        <f aca="false">'🤖 Reka Flash'!H60</f>
        <v>0</v>
      </c>
      <c r="H555" s="129" t="n">
        <f aca="false">'🤖 Reka Flash'!I60</f>
        <v>0</v>
      </c>
      <c r="I555" s="129" t="n">
        <f aca="false">'🤖 Reka Flash'!J60</f>
        <v>0</v>
      </c>
    </row>
    <row r="556" customFormat="false" ht="15.75" hidden="false" customHeight="false" outlineLevel="0" collapsed="false">
      <c r="A556" s="128"/>
      <c r="B556" s="4"/>
      <c r="C556" s="6"/>
      <c r="D556" s="168"/>
      <c r="E556" s="6"/>
      <c r="F556" s="6"/>
      <c r="G556" s="6"/>
      <c r="H556" s="6"/>
      <c r="I556" s="6"/>
    </row>
    <row r="557" customFormat="false" ht="15.75" hidden="false" customHeight="false" outlineLevel="0" collapsed="false">
      <c r="A557" s="128" t="n">
        <f aca="false">'🤖 Reka Flash'!$A$62</f>
        <v>0</v>
      </c>
      <c r="B557" s="4" t="s">
        <v>23</v>
      </c>
      <c r="C557" s="129" t="str">
        <f aca="false">'🤖 Reka Flash'!C62</f>
        <v>Base</v>
      </c>
      <c r="D557" s="168" t="n">
        <f aca="false">'🤖 Reka Flash'!E62</f>
        <v>0.001901140684</v>
      </c>
      <c r="E557" s="129" t="n">
        <f aca="false">'🤖 Reka Flash'!F62</f>
        <v>0</v>
      </c>
      <c r="F557" s="129" t="n">
        <f aca="false">'🤖 Reka Flash'!G62</f>
        <v>0</v>
      </c>
      <c r="G557" s="129" t="n">
        <f aca="false">'🤖 Reka Flash'!H62</f>
        <v>0</v>
      </c>
      <c r="H557" s="129" t="n">
        <f aca="false">'🤖 Reka Flash'!I62</f>
        <v>0</v>
      </c>
      <c r="I557" s="129" t="n">
        <f aca="false">'🤖 Reka Flash'!J62</f>
        <v>0</v>
      </c>
    </row>
    <row r="558" customFormat="false" ht="15.75" hidden="false" customHeight="false" outlineLevel="0" collapsed="false">
      <c r="A558" s="128" t="n">
        <f aca="false">'🤖 Reka Flash'!$A$62</f>
        <v>0</v>
      </c>
      <c r="B558" s="4" t="s">
        <v>23</v>
      </c>
      <c r="C558" s="129" t="str">
        <f aca="false">'🤖 Reka Flash'!C63</f>
        <v>CoT</v>
      </c>
      <c r="D558" s="168" t="n">
        <f aca="false">'🤖 Reka Flash'!E63</f>
        <v>0.001901140684</v>
      </c>
      <c r="E558" s="129" t="n">
        <f aca="false">'🤖 Reka Flash'!F63</f>
        <v>0</v>
      </c>
      <c r="F558" s="129" t="n">
        <f aca="false">'🤖 Reka Flash'!G63</f>
        <v>0</v>
      </c>
      <c r="G558" s="129" t="n">
        <f aca="false">'🤖 Reka Flash'!H63</f>
        <v>0</v>
      </c>
      <c r="H558" s="129" t="n">
        <f aca="false">'🤖 Reka Flash'!I63</f>
        <v>0</v>
      </c>
      <c r="I558" s="129" t="n">
        <f aca="false">'🤖 Reka Flash'!J63</f>
        <v>0</v>
      </c>
    </row>
    <row r="559" customFormat="false" ht="15.75" hidden="false" customHeight="false" outlineLevel="0" collapsed="false">
      <c r="A559" s="128" t="n">
        <f aca="false">'🤖 Reka Flash'!$A$62</f>
        <v>0</v>
      </c>
      <c r="B559" s="4" t="s">
        <v>23</v>
      </c>
      <c r="C559" s="129" t="str">
        <f aca="false">'🤖 Reka Flash'!C64</f>
        <v>5W1H</v>
      </c>
      <c r="D559" s="168" t="n">
        <f aca="false">'🤖 Reka Flash'!E64</f>
        <v>0.001901140684</v>
      </c>
      <c r="E559" s="129" t="n">
        <f aca="false">'🤖 Reka Flash'!F64</f>
        <v>0</v>
      </c>
      <c r="F559" s="129" t="n">
        <f aca="false">'🤖 Reka Flash'!G64</f>
        <v>0</v>
      </c>
      <c r="G559" s="129" t="n">
        <f aca="false">'🤖 Reka Flash'!H64</f>
        <v>0</v>
      </c>
      <c r="H559" s="129" t="n">
        <f aca="false">'🤖 Reka Flash'!I64</f>
        <v>0</v>
      </c>
      <c r="I559" s="129" t="n">
        <f aca="false">'🤖 Reka Flash'!J64</f>
        <v>0</v>
      </c>
    </row>
    <row r="560" customFormat="false" ht="15.75" hidden="false" customHeight="false" outlineLevel="0" collapsed="false">
      <c r="A560" s="128" t="n">
        <f aca="false">'🤖 Reka Flash'!$A$62</f>
        <v>0</v>
      </c>
      <c r="B560" s="4" t="s">
        <v>23</v>
      </c>
      <c r="C560" s="129" t="str">
        <f aca="false">'🤖 Reka Flash'!C65</f>
        <v>tldr</v>
      </c>
      <c r="D560" s="168" t="n">
        <f aca="false">'🤖 Reka Flash'!E65</f>
        <v>0.001901140684</v>
      </c>
      <c r="E560" s="129" t="n">
        <f aca="false">'🤖 Reka Flash'!F65</f>
        <v>0</v>
      </c>
      <c r="F560" s="129" t="n">
        <f aca="false">'🤖 Reka Flash'!G65</f>
        <v>0</v>
      </c>
      <c r="G560" s="129" t="n">
        <f aca="false">'🤖 Reka Flash'!H65</f>
        <v>0</v>
      </c>
      <c r="H560" s="129" t="n">
        <f aca="false">'🤖 Reka Flash'!I65</f>
        <v>0</v>
      </c>
      <c r="I560" s="129" t="n">
        <f aca="false">'🤖 Reka Flash'!J65</f>
        <v>0</v>
      </c>
    </row>
    <row r="561" customFormat="false" ht="15.75" hidden="false" customHeight="false" outlineLevel="0" collapsed="false">
      <c r="A561" s="128"/>
      <c r="B561" s="4"/>
      <c r="C561" s="6"/>
      <c r="D561" s="168"/>
      <c r="E561" s="6"/>
      <c r="F561" s="6"/>
      <c r="G561" s="6"/>
      <c r="H561" s="6"/>
      <c r="I561" s="6"/>
    </row>
    <row r="562" customFormat="false" ht="15.75" hidden="false" customHeight="false" outlineLevel="0" collapsed="false">
      <c r="A562" s="128" t="n">
        <f aca="false">'🤖 Reka Flash'!$A$67</f>
        <v>0</v>
      </c>
      <c r="B562" s="4" t="s">
        <v>23</v>
      </c>
      <c r="C562" s="129" t="str">
        <f aca="false">'🤖 Reka Flash'!C67</f>
        <v>Base</v>
      </c>
      <c r="D562" s="168" t="n">
        <f aca="false">'🤖 Reka Flash'!E67</f>
        <v>0.001901140684</v>
      </c>
      <c r="E562" s="129" t="n">
        <f aca="false">'🤖 Reka Flash'!F67</f>
        <v>0</v>
      </c>
      <c r="F562" s="129" t="n">
        <f aca="false">'🤖 Reka Flash'!G67</f>
        <v>0</v>
      </c>
      <c r="G562" s="129" t="n">
        <f aca="false">'🤖 Reka Flash'!H67</f>
        <v>0</v>
      </c>
      <c r="H562" s="129" t="n">
        <f aca="false">'🤖 Reka Flash'!I67</f>
        <v>0</v>
      </c>
      <c r="I562" s="129" t="n">
        <f aca="false">'🤖 Reka Flash'!J67</f>
        <v>0</v>
      </c>
    </row>
    <row r="563" customFormat="false" ht="15.75" hidden="false" customHeight="false" outlineLevel="0" collapsed="false">
      <c r="A563" s="128" t="n">
        <f aca="false">'🤖 Reka Flash'!$A$67</f>
        <v>0</v>
      </c>
      <c r="B563" s="4" t="s">
        <v>23</v>
      </c>
      <c r="C563" s="129" t="str">
        <f aca="false">'🤖 Reka Flash'!C68</f>
        <v>CoT</v>
      </c>
      <c r="D563" s="168" t="n">
        <f aca="false">'🤖 Reka Flash'!E68</f>
        <v>0.001901140684</v>
      </c>
      <c r="E563" s="129" t="n">
        <f aca="false">'🤖 Reka Flash'!F68</f>
        <v>0</v>
      </c>
      <c r="F563" s="129" t="n">
        <f aca="false">'🤖 Reka Flash'!G68</f>
        <v>0</v>
      </c>
      <c r="G563" s="129" t="n">
        <f aca="false">'🤖 Reka Flash'!H68</f>
        <v>0</v>
      </c>
      <c r="H563" s="129" t="n">
        <f aca="false">'🤖 Reka Flash'!I68</f>
        <v>0</v>
      </c>
      <c r="I563" s="129" t="n">
        <f aca="false">'🤖 Reka Flash'!J68</f>
        <v>0</v>
      </c>
    </row>
    <row r="564" customFormat="false" ht="15.75" hidden="false" customHeight="false" outlineLevel="0" collapsed="false">
      <c r="A564" s="128" t="n">
        <f aca="false">'🤖 Reka Flash'!$A$67</f>
        <v>0</v>
      </c>
      <c r="B564" s="4" t="s">
        <v>23</v>
      </c>
      <c r="C564" s="129" t="str">
        <f aca="false">'🤖 Reka Flash'!C69</f>
        <v>5W1H</v>
      </c>
      <c r="D564" s="168" t="n">
        <f aca="false">'🤖 Reka Flash'!E69</f>
        <v>0.001901140684</v>
      </c>
      <c r="E564" s="129" t="n">
        <f aca="false">'🤖 Reka Flash'!F69</f>
        <v>0</v>
      </c>
      <c r="F564" s="129" t="n">
        <f aca="false">'🤖 Reka Flash'!G69</f>
        <v>0</v>
      </c>
      <c r="G564" s="129" t="n">
        <f aca="false">'🤖 Reka Flash'!H69</f>
        <v>0</v>
      </c>
      <c r="H564" s="129" t="n">
        <f aca="false">'🤖 Reka Flash'!I69</f>
        <v>0</v>
      </c>
      <c r="I564" s="129" t="n">
        <f aca="false">'🤖 Reka Flash'!J69</f>
        <v>0</v>
      </c>
    </row>
    <row r="565" customFormat="false" ht="15.75" hidden="false" customHeight="false" outlineLevel="0" collapsed="false">
      <c r="A565" s="128" t="n">
        <f aca="false">'🤖 Reka Flash'!$A$67</f>
        <v>0</v>
      </c>
      <c r="B565" s="4" t="s">
        <v>23</v>
      </c>
      <c r="C565" s="129" t="str">
        <f aca="false">'🤖 Reka Flash'!C70</f>
        <v>tldr</v>
      </c>
      <c r="D565" s="168" t="n">
        <f aca="false">'🤖 Reka Flash'!E70</f>
        <v>0.001901140684</v>
      </c>
      <c r="E565" s="129" t="n">
        <f aca="false">'🤖 Reka Flash'!F70</f>
        <v>0</v>
      </c>
      <c r="F565" s="129" t="n">
        <f aca="false">'🤖 Reka Flash'!G70</f>
        <v>0</v>
      </c>
      <c r="G565" s="129" t="n">
        <f aca="false">'🤖 Reka Flash'!H70</f>
        <v>0</v>
      </c>
      <c r="H565" s="129" t="n">
        <f aca="false">'🤖 Reka Flash'!I70</f>
        <v>0</v>
      </c>
      <c r="I565" s="129" t="n">
        <f aca="false">'🤖 Reka Flash'!J70</f>
        <v>0</v>
      </c>
    </row>
    <row r="566" customFormat="false" ht="15.75" hidden="false" customHeight="false" outlineLevel="0" collapsed="false">
      <c r="A566" s="128"/>
      <c r="B566" s="4"/>
      <c r="C566" s="6"/>
      <c r="D566" s="168"/>
      <c r="E566" s="6"/>
      <c r="F566" s="6"/>
      <c r="G566" s="6"/>
      <c r="H566" s="6"/>
      <c r="I566" s="6"/>
    </row>
    <row r="567" customFormat="false" ht="15.75" hidden="false" customHeight="false" outlineLevel="0" collapsed="false">
      <c r="A567" s="128" t="n">
        <f aca="false">'🤖 Reka Flash'!$A$72</f>
        <v>0</v>
      </c>
      <c r="B567" s="4" t="s">
        <v>23</v>
      </c>
      <c r="C567" s="129" t="str">
        <f aca="false">'🤖 Reka Flash'!C72</f>
        <v>Base</v>
      </c>
      <c r="D567" s="168" t="n">
        <f aca="false">'🤖 Reka Flash'!E72</f>
        <v>0.001901140684</v>
      </c>
      <c r="E567" s="129" t="n">
        <f aca="false">'🤖 Reka Flash'!F72</f>
        <v>0</v>
      </c>
      <c r="F567" s="129" t="n">
        <f aca="false">'🤖 Reka Flash'!G72</f>
        <v>0</v>
      </c>
      <c r="G567" s="129" t="n">
        <f aca="false">'🤖 Reka Flash'!H72</f>
        <v>0</v>
      </c>
      <c r="H567" s="129" t="n">
        <f aca="false">'🤖 Reka Flash'!I72</f>
        <v>0</v>
      </c>
      <c r="I567" s="129" t="n">
        <f aca="false">'🤖 Reka Flash'!J72</f>
        <v>0</v>
      </c>
    </row>
    <row r="568" customFormat="false" ht="15.75" hidden="false" customHeight="false" outlineLevel="0" collapsed="false">
      <c r="A568" s="128" t="n">
        <f aca="false">'🤖 Reka Flash'!$A$72</f>
        <v>0</v>
      </c>
      <c r="B568" s="4" t="s">
        <v>23</v>
      </c>
      <c r="C568" s="129" t="str">
        <f aca="false">'🤖 Reka Flash'!C73</f>
        <v>CoT</v>
      </c>
      <c r="D568" s="168" t="n">
        <f aca="false">'🤖 Reka Flash'!E73</f>
        <v>0.001901140684</v>
      </c>
      <c r="E568" s="129" t="n">
        <f aca="false">'🤖 Reka Flash'!F73</f>
        <v>0</v>
      </c>
      <c r="F568" s="129" t="n">
        <f aca="false">'🤖 Reka Flash'!G73</f>
        <v>0</v>
      </c>
      <c r="G568" s="129" t="n">
        <f aca="false">'🤖 Reka Flash'!H73</f>
        <v>0</v>
      </c>
      <c r="H568" s="129" t="n">
        <f aca="false">'🤖 Reka Flash'!I73</f>
        <v>0</v>
      </c>
      <c r="I568" s="129" t="n">
        <f aca="false">'🤖 Reka Flash'!J73</f>
        <v>0</v>
      </c>
    </row>
    <row r="569" customFormat="false" ht="15.75" hidden="false" customHeight="false" outlineLevel="0" collapsed="false">
      <c r="A569" s="128" t="n">
        <f aca="false">'🤖 Reka Flash'!$A$72</f>
        <v>0</v>
      </c>
      <c r="B569" s="4" t="s">
        <v>23</v>
      </c>
      <c r="C569" s="129" t="str">
        <f aca="false">'🤖 Reka Flash'!C74</f>
        <v>5W1H</v>
      </c>
      <c r="D569" s="168" t="n">
        <f aca="false">'🤖 Reka Flash'!E74</f>
        <v>0.001901140684</v>
      </c>
      <c r="E569" s="129" t="n">
        <f aca="false">'🤖 Reka Flash'!F74</f>
        <v>0</v>
      </c>
      <c r="F569" s="129" t="n">
        <f aca="false">'🤖 Reka Flash'!G74</f>
        <v>0</v>
      </c>
      <c r="G569" s="129" t="n">
        <f aca="false">'🤖 Reka Flash'!H74</f>
        <v>0</v>
      </c>
      <c r="H569" s="129" t="n">
        <f aca="false">'🤖 Reka Flash'!I74</f>
        <v>0</v>
      </c>
      <c r="I569" s="129" t="n">
        <f aca="false">'🤖 Reka Flash'!J74</f>
        <v>0</v>
      </c>
    </row>
    <row r="570" customFormat="false" ht="15.75" hidden="false" customHeight="false" outlineLevel="0" collapsed="false">
      <c r="A570" s="128" t="n">
        <f aca="false">'🤖 Reka Flash'!$A$72</f>
        <v>0</v>
      </c>
      <c r="B570" s="4" t="s">
        <v>23</v>
      </c>
      <c r="C570" s="129" t="str">
        <f aca="false">'🤖 Reka Flash'!C75</f>
        <v>tldr</v>
      </c>
      <c r="D570" s="168" t="n">
        <f aca="false">'🤖 Reka Flash'!E75</f>
        <v>0.001901140684</v>
      </c>
      <c r="E570" s="129" t="n">
        <f aca="false">'🤖 Reka Flash'!F75</f>
        <v>0</v>
      </c>
      <c r="F570" s="129" t="n">
        <f aca="false">'🤖 Reka Flash'!G75</f>
        <v>0</v>
      </c>
      <c r="G570" s="129" t="n">
        <f aca="false">'🤖 Reka Flash'!H75</f>
        <v>0</v>
      </c>
      <c r="H570" s="129" t="n">
        <f aca="false">'🤖 Reka Flash'!I75</f>
        <v>0</v>
      </c>
      <c r="I570" s="129" t="n">
        <f aca="false">'🤖 Reka Flash'!J75</f>
        <v>0</v>
      </c>
    </row>
    <row r="571" customFormat="false" ht="15.75" hidden="false" customHeight="false" outlineLevel="0" collapsed="false">
      <c r="A571" s="128"/>
      <c r="B571" s="4"/>
      <c r="C571" s="6"/>
      <c r="D571" s="168"/>
      <c r="E571" s="6"/>
      <c r="F571" s="6"/>
      <c r="G571" s="6"/>
      <c r="H571" s="6"/>
      <c r="I571" s="6"/>
    </row>
    <row r="572" customFormat="false" ht="15.75" hidden="false" customHeight="false" outlineLevel="0" collapsed="false">
      <c r="A572" s="128" t="n">
        <f aca="false">'🤖 Reka Flash'!$A$77</f>
        <v>0</v>
      </c>
      <c r="B572" s="4" t="s">
        <v>23</v>
      </c>
      <c r="C572" s="129" t="str">
        <f aca="false">'🤖 Reka Flash'!C77</f>
        <v>Base</v>
      </c>
      <c r="D572" s="168" t="n">
        <f aca="false">'🤖 Reka Flash'!E77</f>
        <v>0.001901140684</v>
      </c>
      <c r="E572" s="129" t="n">
        <f aca="false">'🤖 Reka Flash'!F77</f>
        <v>0</v>
      </c>
      <c r="F572" s="129" t="n">
        <f aca="false">'🤖 Reka Flash'!G77</f>
        <v>0</v>
      </c>
      <c r="G572" s="129" t="n">
        <f aca="false">'🤖 Reka Flash'!H77</f>
        <v>0</v>
      </c>
      <c r="H572" s="129" t="n">
        <f aca="false">'🤖 Reka Flash'!I77</f>
        <v>0</v>
      </c>
      <c r="I572" s="129" t="n">
        <f aca="false">'🤖 Reka Flash'!J77</f>
        <v>0</v>
      </c>
    </row>
    <row r="573" customFormat="false" ht="15.75" hidden="false" customHeight="false" outlineLevel="0" collapsed="false">
      <c r="A573" s="128" t="n">
        <f aca="false">'🤖 Reka Flash'!$A$77</f>
        <v>0</v>
      </c>
      <c r="B573" s="4" t="s">
        <v>23</v>
      </c>
      <c r="C573" s="129" t="str">
        <f aca="false">'🤖 Reka Flash'!C78</f>
        <v>CoT</v>
      </c>
      <c r="D573" s="168" t="n">
        <f aca="false">'🤖 Reka Flash'!E78</f>
        <v>0.001901140684</v>
      </c>
      <c r="E573" s="129" t="n">
        <f aca="false">'🤖 Reka Flash'!F78</f>
        <v>0</v>
      </c>
      <c r="F573" s="129" t="n">
        <f aca="false">'🤖 Reka Flash'!G78</f>
        <v>0</v>
      </c>
      <c r="G573" s="129" t="n">
        <f aca="false">'🤖 Reka Flash'!H78</f>
        <v>0</v>
      </c>
      <c r="H573" s="129" t="n">
        <f aca="false">'🤖 Reka Flash'!I78</f>
        <v>0</v>
      </c>
      <c r="I573" s="129" t="n">
        <f aca="false">'🤖 Reka Flash'!J78</f>
        <v>0</v>
      </c>
    </row>
    <row r="574" customFormat="false" ht="15.75" hidden="false" customHeight="false" outlineLevel="0" collapsed="false">
      <c r="A574" s="128" t="n">
        <f aca="false">'🤖 Reka Flash'!$A$77</f>
        <v>0</v>
      </c>
      <c r="B574" s="4" t="s">
        <v>23</v>
      </c>
      <c r="C574" s="129" t="str">
        <f aca="false">'🤖 Reka Flash'!C79</f>
        <v>5W1H</v>
      </c>
      <c r="D574" s="168" t="n">
        <f aca="false">'🤖 Reka Flash'!E79</f>
        <v>0.001901140684</v>
      </c>
      <c r="E574" s="129" t="n">
        <f aca="false">'🤖 Reka Flash'!F79</f>
        <v>0</v>
      </c>
      <c r="F574" s="129" t="n">
        <f aca="false">'🤖 Reka Flash'!G79</f>
        <v>0</v>
      </c>
      <c r="G574" s="129" t="n">
        <f aca="false">'🤖 Reka Flash'!H79</f>
        <v>0</v>
      </c>
      <c r="H574" s="129" t="n">
        <f aca="false">'🤖 Reka Flash'!I79</f>
        <v>0</v>
      </c>
      <c r="I574" s="129" t="n">
        <f aca="false">'🤖 Reka Flash'!J79</f>
        <v>0</v>
      </c>
    </row>
    <row r="575" customFormat="false" ht="15.75" hidden="false" customHeight="false" outlineLevel="0" collapsed="false">
      <c r="A575" s="128" t="n">
        <f aca="false">'🤖 Reka Flash'!$A$77</f>
        <v>0</v>
      </c>
      <c r="B575" s="4" t="s">
        <v>23</v>
      </c>
      <c r="C575" s="129" t="str">
        <f aca="false">'🤖 Reka Flash'!C80</f>
        <v>tldr</v>
      </c>
      <c r="D575" s="168" t="n">
        <f aca="false">'🤖 Reka Flash'!E80</f>
        <v>0.001901140684</v>
      </c>
      <c r="E575" s="129" t="n">
        <f aca="false">'🤖 Reka Flash'!F80</f>
        <v>0</v>
      </c>
      <c r="F575" s="129" t="n">
        <f aca="false">'🤖 Reka Flash'!G80</f>
        <v>0</v>
      </c>
      <c r="G575" s="129" t="n">
        <f aca="false">'🤖 Reka Flash'!H80</f>
        <v>0</v>
      </c>
      <c r="H575" s="129" t="n">
        <f aca="false">'🤖 Reka Flash'!I80</f>
        <v>0</v>
      </c>
      <c r="I575" s="129" t="n">
        <f aca="false">'🤖 Reka Flash'!J80</f>
        <v>0</v>
      </c>
    </row>
    <row r="576" customFormat="false" ht="15.75" hidden="false" customHeight="false" outlineLevel="0" collapsed="false">
      <c r="A576" s="128"/>
      <c r="B576" s="4"/>
      <c r="C576" s="6"/>
      <c r="D576" s="168"/>
      <c r="E576" s="6"/>
      <c r="F576" s="6"/>
      <c r="G576" s="6"/>
      <c r="H576" s="6"/>
      <c r="I576" s="6"/>
    </row>
    <row r="577" customFormat="false" ht="15.75" hidden="false" customHeight="false" outlineLevel="0" collapsed="false">
      <c r="A577" s="128" t="n">
        <f aca="false">'🤖 Reka Flash'!$A$82</f>
        <v>0</v>
      </c>
      <c r="B577" s="4" t="s">
        <v>23</v>
      </c>
      <c r="C577" s="129" t="str">
        <f aca="false">'🤖 Reka Flash'!C82</f>
        <v>Base</v>
      </c>
      <c r="D577" s="168" t="n">
        <f aca="false">'🤖 Reka Flash'!E82</f>
        <v>0.001901140684</v>
      </c>
      <c r="E577" s="129" t="n">
        <f aca="false">'🤖 Reka Flash'!F82</f>
        <v>0</v>
      </c>
      <c r="F577" s="129" t="n">
        <f aca="false">'🤖 Reka Flash'!G82</f>
        <v>0</v>
      </c>
      <c r="G577" s="129" t="n">
        <f aca="false">'🤖 Reka Flash'!H82</f>
        <v>0</v>
      </c>
      <c r="H577" s="129" t="n">
        <f aca="false">'🤖 Reka Flash'!I82</f>
        <v>0</v>
      </c>
      <c r="I577" s="129" t="n">
        <f aca="false">'🤖 Reka Flash'!J82</f>
        <v>0</v>
      </c>
    </row>
    <row r="578" customFormat="false" ht="15.75" hidden="false" customHeight="false" outlineLevel="0" collapsed="false">
      <c r="A578" s="128" t="n">
        <f aca="false">'🤖 Reka Flash'!$A$82</f>
        <v>0</v>
      </c>
      <c r="B578" s="4" t="s">
        <v>23</v>
      </c>
      <c r="C578" s="129" t="str">
        <f aca="false">'🤖 Reka Flash'!C83</f>
        <v>CoT</v>
      </c>
      <c r="D578" s="168" t="n">
        <f aca="false">'🤖 Reka Flash'!E83</f>
        <v>0.001901140684</v>
      </c>
      <c r="E578" s="129" t="n">
        <f aca="false">'🤖 Reka Flash'!F83</f>
        <v>0</v>
      </c>
      <c r="F578" s="129" t="n">
        <f aca="false">'🤖 Reka Flash'!G83</f>
        <v>0</v>
      </c>
      <c r="G578" s="129" t="n">
        <f aca="false">'🤖 Reka Flash'!H83</f>
        <v>0</v>
      </c>
      <c r="H578" s="129" t="n">
        <f aca="false">'🤖 Reka Flash'!I83</f>
        <v>0</v>
      </c>
      <c r="I578" s="129" t="n">
        <f aca="false">'🤖 Reka Flash'!J83</f>
        <v>0</v>
      </c>
    </row>
    <row r="579" customFormat="false" ht="15.75" hidden="false" customHeight="false" outlineLevel="0" collapsed="false">
      <c r="A579" s="128" t="n">
        <f aca="false">'🤖 Reka Flash'!$A$82</f>
        <v>0</v>
      </c>
      <c r="B579" s="4" t="s">
        <v>23</v>
      </c>
      <c r="C579" s="129" t="str">
        <f aca="false">'🤖 Reka Flash'!C84</f>
        <v>5W1H</v>
      </c>
      <c r="D579" s="168" t="n">
        <f aca="false">'🤖 Reka Flash'!E84</f>
        <v>0.001901140684</v>
      </c>
      <c r="E579" s="129" t="n">
        <f aca="false">'🤖 Reka Flash'!F84</f>
        <v>0</v>
      </c>
      <c r="F579" s="129" t="n">
        <f aca="false">'🤖 Reka Flash'!G84</f>
        <v>0</v>
      </c>
      <c r="G579" s="129" t="n">
        <f aca="false">'🤖 Reka Flash'!H84</f>
        <v>0</v>
      </c>
      <c r="H579" s="129" t="n">
        <f aca="false">'🤖 Reka Flash'!I84</f>
        <v>0</v>
      </c>
      <c r="I579" s="129" t="n">
        <f aca="false">'🤖 Reka Flash'!J84</f>
        <v>0</v>
      </c>
    </row>
    <row r="580" customFormat="false" ht="15.75" hidden="false" customHeight="false" outlineLevel="0" collapsed="false">
      <c r="A580" s="128" t="n">
        <f aca="false">'🤖 Reka Flash'!$A$82</f>
        <v>0</v>
      </c>
      <c r="B580" s="4" t="s">
        <v>23</v>
      </c>
      <c r="C580" s="129" t="str">
        <f aca="false">'🤖 Reka Flash'!C85</f>
        <v>tldr</v>
      </c>
      <c r="D580" s="168" t="n">
        <f aca="false">'🤖 Reka Flash'!E85</f>
        <v>0.001901140684</v>
      </c>
      <c r="E580" s="129" t="n">
        <f aca="false">'🤖 Reka Flash'!F85</f>
        <v>0</v>
      </c>
      <c r="F580" s="129" t="n">
        <f aca="false">'🤖 Reka Flash'!G85</f>
        <v>0</v>
      </c>
      <c r="G580" s="129" t="n">
        <f aca="false">'🤖 Reka Flash'!H85</f>
        <v>0</v>
      </c>
      <c r="H580" s="129" t="n">
        <f aca="false">'🤖 Reka Flash'!I85</f>
        <v>0</v>
      </c>
      <c r="I580" s="129" t="n">
        <f aca="false">'🤖 Reka Flash'!J85</f>
        <v>0</v>
      </c>
    </row>
    <row r="581" customFormat="false" ht="15.75" hidden="false" customHeight="false" outlineLevel="0" collapsed="false">
      <c r="A581" s="128"/>
      <c r="B581" s="4"/>
      <c r="C581" s="6"/>
      <c r="D581" s="168"/>
      <c r="E581" s="6"/>
      <c r="F581" s="6"/>
      <c r="G581" s="6"/>
      <c r="H581" s="6"/>
      <c r="I581" s="6"/>
    </row>
    <row r="582" customFormat="false" ht="15.75" hidden="false" customHeight="false" outlineLevel="0" collapsed="false">
      <c r="A582" s="128" t="n">
        <f aca="false">'🤖 Reka Flash'!$A$87</f>
        <v>0</v>
      </c>
      <c r="B582" s="4" t="s">
        <v>23</v>
      </c>
      <c r="C582" s="129" t="str">
        <f aca="false">'🤖 Reka Flash'!C87</f>
        <v>Base</v>
      </c>
      <c r="D582" s="168" t="n">
        <f aca="false">'🤖 Reka Flash'!E87</f>
        <v>0.001901140684</v>
      </c>
      <c r="E582" s="129" t="n">
        <f aca="false">'🤖 Reka Flash'!F87</f>
        <v>0</v>
      </c>
      <c r="F582" s="129" t="n">
        <f aca="false">'🤖 Reka Flash'!G87</f>
        <v>0</v>
      </c>
      <c r="G582" s="129" t="n">
        <f aca="false">'🤖 Reka Flash'!H87</f>
        <v>0</v>
      </c>
      <c r="H582" s="129" t="n">
        <f aca="false">'🤖 Reka Flash'!I87</f>
        <v>0</v>
      </c>
      <c r="I582" s="129" t="n">
        <f aca="false">'🤖 Reka Flash'!J87</f>
        <v>0</v>
      </c>
    </row>
    <row r="583" customFormat="false" ht="15.75" hidden="false" customHeight="false" outlineLevel="0" collapsed="false">
      <c r="A583" s="128" t="n">
        <f aca="false">'🤖 Reka Flash'!$A$87</f>
        <v>0</v>
      </c>
      <c r="B583" s="4" t="s">
        <v>23</v>
      </c>
      <c r="C583" s="129" t="str">
        <f aca="false">'🤖 Reka Flash'!C88</f>
        <v>CoT</v>
      </c>
      <c r="D583" s="168" t="n">
        <f aca="false">'🤖 Reka Flash'!E88</f>
        <v>0.001901140684</v>
      </c>
      <c r="E583" s="129" t="n">
        <f aca="false">'🤖 Reka Flash'!F88</f>
        <v>0</v>
      </c>
      <c r="F583" s="129" t="n">
        <f aca="false">'🤖 Reka Flash'!G88</f>
        <v>0</v>
      </c>
      <c r="G583" s="129" t="n">
        <f aca="false">'🤖 Reka Flash'!H88</f>
        <v>0</v>
      </c>
      <c r="H583" s="129" t="n">
        <f aca="false">'🤖 Reka Flash'!I88</f>
        <v>0</v>
      </c>
      <c r="I583" s="129" t="n">
        <f aca="false">'🤖 Reka Flash'!J88</f>
        <v>0</v>
      </c>
    </row>
    <row r="584" customFormat="false" ht="15.75" hidden="false" customHeight="false" outlineLevel="0" collapsed="false">
      <c r="A584" s="128" t="n">
        <f aca="false">'🤖 Reka Flash'!$A$87</f>
        <v>0</v>
      </c>
      <c r="B584" s="4" t="s">
        <v>23</v>
      </c>
      <c r="C584" s="129" t="str">
        <f aca="false">'🤖 Reka Flash'!C89</f>
        <v>5W1H</v>
      </c>
      <c r="D584" s="168" t="n">
        <f aca="false">'🤖 Reka Flash'!E89</f>
        <v>0.001901140684</v>
      </c>
      <c r="E584" s="129" t="n">
        <f aca="false">'🤖 Reka Flash'!F89</f>
        <v>0</v>
      </c>
      <c r="F584" s="129" t="n">
        <f aca="false">'🤖 Reka Flash'!G89</f>
        <v>0</v>
      </c>
      <c r="G584" s="129" t="n">
        <f aca="false">'🤖 Reka Flash'!H89</f>
        <v>0</v>
      </c>
      <c r="H584" s="129" t="n">
        <f aca="false">'🤖 Reka Flash'!I89</f>
        <v>0</v>
      </c>
      <c r="I584" s="129" t="n">
        <f aca="false">'🤖 Reka Flash'!J89</f>
        <v>0</v>
      </c>
    </row>
    <row r="585" customFormat="false" ht="15.75" hidden="false" customHeight="false" outlineLevel="0" collapsed="false">
      <c r="A585" s="128" t="n">
        <f aca="false">'🤖 Reka Flash'!$A$87</f>
        <v>0</v>
      </c>
      <c r="B585" s="4" t="s">
        <v>23</v>
      </c>
      <c r="C585" s="129" t="str">
        <f aca="false">'🤖 Reka Flash'!C90</f>
        <v>tldr</v>
      </c>
      <c r="D585" s="168" t="n">
        <f aca="false">'🤖 Reka Flash'!E90</f>
        <v>0.001901140684</v>
      </c>
      <c r="E585" s="129" t="n">
        <f aca="false">'🤖 Reka Flash'!F90</f>
        <v>0</v>
      </c>
      <c r="F585" s="129" t="n">
        <f aca="false">'🤖 Reka Flash'!G90</f>
        <v>0</v>
      </c>
      <c r="G585" s="129" t="n">
        <f aca="false">'🤖 Reka Flash'!H90</f>
        <v>0</v>
      </c>
      <c r="H585" s="129" t="n">
        <f aca="false">'🤖 Reka Flash'!I90</f>
        <v>0</v>
      </c>
      <c r="I585" s="129" t="n">
        <f aca="false">'🤖 Reka Flash'!J90</f>
        <v>0</v>
      </c>
    </row>
    <row r="586" customFormat="false" ht="15.75" hidden="false" customHeight="false" outlineLevel="0" collapsed="false">
      <c r="A586" s="128"/>
      <c r="B586" s="4"/>
      <c r="C586" s="6"/>
      <c r="D586" s="168"/>
      <c r="E586" s="6"/>
      <c r="F586" s="6"/>
      <c r="G586" s="6"/>
      <c r="H586" s="6"/>
      <c r="I586" s="6"/>
    </row>
    <row r="587" customFormat="false" ht="15.75" hidden="false" customHeight="false" outlineLevel="0" collapsed="false">
      <c r="A587" s="128" t="n">
        <f aca="false">'🤖 Reka Flash'!$A$92</f>
        <v>0</v>
      </c>
      <c r="B587" s="4" t="s">
        <v>23</v>
      </c>
      <c r="C587" s="129" t="str">
        <f aca="false">'🤖 Reka Flash'!C92</f>
        <v>Base</v>
      </c>
      <c r="D587" s="168" t="n">
        <f aca="false">'🤖 Reka Flash'!E92</f>
        <v>0.001901140684</v>
      </c>
      <c r="E587" s="129" t="n">
        <f aca="false">'🤖 Reka Flash'!F92</f>
        <v>0</v>
      </c>
      <c r="F587" s="129" t="n">
        <f aca="false">'🤖 Reka Flash'!G92</f>
        <v>0</v>
      </c>
      <c r="G587" s="129" t="n">
        <f aca="false">'🤖 Reka Flash'!H92</f>
        <v>0</v>
      </c>
      <c r="H587" s="129" t="n">
        <f aca="false">'🤖 Reka Flash'!I92</f>
        <v>0</v>
      </c>
      <c r="I587" s="129" t="n">
        <f aca="false">'🤖 Reka Flash'!J92</f>
        <v>0</v>
      </c>
    </row>
    <row r="588" customFormat="false" ht="15.75" hidden="false" customHeight="false" outlineLevel="0" collapsed="false">
      <c r="A588" s="128" t="n">
        <f aca="false">'🤖 Reka Flash'!$A$92</f>
        <v>0</v>
      </c>
      <c r="B588" s="4" t="s">
        <v>23</v>
      </c>
      <c r="C588" s="129" t="str">
        <f aca="false">'🤖 Reka Flash'!C93</f>
        <v>CoT</v>
      </c>
      <c r="D588" s="168" t="n">
        <f aca="false">'🤖 Reka Flash'!E93</f>
        <v>0.001901140684</v>
      </c>
      <c r="E588" s="129" t="n">
        <f aca="false">'🤖 Reka Flash'!F93</f>
        <v>0</v>
      </c>
      <c r="F588" s="129" t="n">
        <f aca="false">'🤖 Reka Flash'!G93</f>
        <v>0</v>
      </c>
      <c r="G588" s="129" t="n">
        <f aca="false">'🤖 Reka Flash'!H93</f>
        <v>0</v>
      </c>
      <c r="H588" s="129" t="n">
        <f aca="false">'🤖 Reka Flash'!I93</f>
        <v>0</v>
      </c>
      <c r="I588" s="129" t="n">
        <f aca="false">'🤖 Reka Flash'!J93</f>
        <v>0</v>
      </c>
    </row>
    <row r="589" customFormat="false" ht="15.75" hidden="false" customHeight="false" outlineLevel="0" collapsed="false">
      <c r="A589" s="128" t="n">
        <f aca="false">'🤖 Reka Flash'!$A$92</f>
        <v>0</v>
      </c>
      <c r="B589" s="4" t="s">
        <v>23</v>
      </c>
      <c r="C589" s="129" t="str">
        <f aca="false">'🤖 Reka Flash'!C94</f>
        <v>5W1H</v>
      </c>
      <c r="D589" s="168" t="n">
        <f aca="false">'🤖 Reka Flash'!E94</f>
        <v>0.001901140684</v>
      </c>
      <c r="E589" s="129" t="n">
        <f aca="false">'🤖 Reka Flash'!F94</f>
        <v>0</v>
      </c>
      <c r="F589" s="129" t="n">
        <f aca="false">'🤖 Reka Flash'!G94</f>
        <v>0</v>
      </c>
      <c r="G589" s="129" t="n">
        <f aca="false">'🤖 Reka Flash'!H94</f>
        <v>0</v>
      </c>
      <c r="H589" s="129" t="n">
        <f aca="false">'🤖 Reka Flash'!I94</f>
        <v>0</v>
      </c>
      <c r="I589" s="129" t="n">
        <f aca="false">'🤖 Reka Flash'!J94</f>
        <v>0</v>
      </c>
    </row>
    <row r="590" customFormat="false" ht="15.75" hidden="false" customHeight="false" outlineLevel="0" collapsed="false">
      <c r="A590" s="128" t="n">
        <f aca="false">'🤖 Reka Flash'!$A$92</f>
        <v>0</v>
      </c>
      <c r="B590" s="4" t="s">
        <v>23</v>
      </c>
      <c r="C590" s="129" t="str">
        <f aca="false">'🤖 Reka Flash'!C95</f>
        <v>tldr</v>
      </c>
      <c r="D590" s="168" t="n">
        <f aca="false">'🤖 Reka Flash'!E95</f>
        <v>0.001901140684</v>
      </c>
      <c r="E590" s="129" t="n">
        <f aca="false">'🤖 Reka Flash'!F95</f>
        <v>0</v>
      </c>
      <c r="F590" s="129" t="n">
        <f aca="false">'🤖 Reka Flash'!G95</f>
        <v>0</v>
      </c>
      <c r="G590" s="129" t="n">
        <f aca="false">'🤖 Reka Flash'!H95</f>
        <v>0</v>
      </c>
      <c r="H590" s="129" t="n">
        <f aca="false">'🤖 Reka Flash'!I95</f>
        <v>0</v>
      </c>
      <c r="I590" s="129" t="n">
        <f aca="false">'🤖 Reka Flash'!J95</f>
        <v>0</v>
      </c>
    </row>
    <row r="591" customFormat="false" ht="15.75" hidden="false" customHeight="false" outlineLevel="0" collapsed="false">
      <c r="A591" s="128"/>
      <c r="B591" s="4"/>
      <c r="C591" s="6"/>
      <c r="D591" s="168"/>
      <c r="E591" s="6"/>
      <c r="F591" s="6"/>
      <c r="G591" s="6"/>
      <c r="H591" s="6"/>
      <c r="I591" s="6"/>
    </row>
    <row r="592" customFormat="false" ht="15.75" hidden="false" customHeight="false" outlineLevel="0" collapsed="false">
      <c r="A592" s="128" t="n">
        <f aca="false">'🤖 Reka Flash'!$A$97</f>
        <v>0</v>
      </c>
      <c r="B592" s="4" t="s">
        <v>23</v>
      </c>
      <c r="C592" s="129" t="str">
        <f aca="false">'🤖 Reka Flash'!C97</f>
        <v>Base</v>
      </c>
      <c r="D592" s="168" t="n">
        <f aca="false">'🤖 Reka Flash'!E97</f>
        <v>0.001901140684</v>
      </c>
      <c r="E592" s="129" t="n">
        <f aca="false">'🤖 Reka Flash'!F97</f>
        <v>0</v>
      </c>
      <c r="F592" s="129" t="n">
        <f aca="false">'🤖 Reka Flash'!G97</f>
        <v>0</v>
      </c>
      <c r="G592" s="129" t="n">
        <f aca="false">'🤖 Reka Flash'!H97</f>
        <v>0</v>
      </c>
      <c r="H592" s="129" t="n">
        <f aca="false">'🤖 Reka Flash'!I97</f>
        <v>0</v>
      </c>
      <c r="I592" s="129" t="n">
        <f aca="false">'🤖 Reka Flash'!J97</f>
        <v>0</v>
      </c>
    </row>
    <row r="593" customFormat="false" ht="15.75" hidden="false" customHeight="false" outlineLevel="0" collapsed="false">
      <c r="A593" s="128" t="n">
        <f aca="false">'🤖 Reka Flash'!$A$97</f>
        <v>0</v>
      </c>
      <c r="B593" s="4" t="s">
        <v>23</v>
      </c>
      <c r="C593" s="129" t="str">
        <f aca="false">'🤖 Reka Flash'!C98</f>
        <v>CoT</v>
      </c>
      <c r="D593" s="168" t="n">
        <f aca="false">'🤖 Reka Flash'!E98</f>
        <v>0.001901140684</v>
      </c>
      <c r="E593" s="129" t="n">
        <f aca="false">'🤖 Reka Flash'!F98</f>
        <v>0</v>
      </c>
      <c r="F593" s="129" t="n">
        <f aca="false">'🤖 Reka Flash'!G98</f>
        <v>0</v>
      </c>
      <c r="G593" s="129" t="n">
        <f aca="false">'🤖 Reka Flash'!H98</f>
        <v>0</v>
      </c>
      <c r="H593" s="129" t="n">
        <f aca="false">'🤖 Reka Flash'!I98</f>
        <v>0</v>
      </c>
      <c r="I593" s="129" t="n">
        <f aca="false">'🤖 Reka Flash'!J98</f>
        <v>0</v>
      </c>
    </row>
    <row r="594" customFormat="false" ht="15.75" hidden="false" customHeight="false" outlineLevel="0" collapsed="false">
      <c r="A594" s="128" t="n">
        <f aca="false">'🤖 Reka Flash'!$A$97</f>
        <v>0</v>
      </c>
      <c r="B594" s="4" t="s">
        <v>23</v>
      </c>
      <c r="C594" s="129" t="str">
        <f aca="false">'🤖 Reka Flash'!C99</f>
        <v>5W1H</v>
      </c>
      <c r="D594" s="168" t="n">
        <f aca="false">'🤖 Reka Flash'!E99</f>
        <v>0.001901140684</v>
      </c>
      <c r="E594" s="129" t="n">
        <f aca="false">'🤖 Reka Flash'!F99</f>
        <v>0</v>
      </c>
      <c r="F594" s="129" t="n">
        <f aca="false">'🤖 Reka Flash'!G99</f>
        <v>0</v>
      </c>
      <c r="G594" s="129" t="n">
        <f aca="false">'🤖 Reka Flash'!H99</f>
        <v>0</v>
      </c>
      <c r="H594" s="129" t="n">
        <f aca="false">'🤖 Reka Flash'!I99</f>
        <v>0</v>
      </c>
      <c r="I594" s="129" t="n">
        <f aca="false">'🤖 Reka Flash'!J99</f>
        <v>0</v>
      </c>
    </row>
    <row r="595" customFormat="false" ht="15.75" hidden="false" customHeight="false" outlineLevel="0" collapsed="false">
      <c r="A595" s="128" t="n">
        <f aca="false">'🤖 Reka Flash'!$A$97</f>
        <v>0</v>
      </c>
      <c r="B595" s="4" t="s">
        <v>23</v>
      </c>
      <c r="C595" s="129" t="str">
        <f aca="false">'🤖 Reka Flash'!C100</f>
        <v>tldr</v>
      </c>
      <c r="D595" s="168" t="n">
        <f aca="false">'🤖 Reka Flash'!E100</f>
        <v>0.001901140684</v>
      </c>
      <c r="E595" s="129" t="n">
        <f aca="false">'🤖 Reka Flash'!F100</f>
        <v>0</v>
      </c>
      <c r="F595" s="129" t="n">
        <f aca="false">'🤖 Reka Flash'!G100</f>
        <v>0</v>
      </c>
      <c r="G595" s="129" t="n">
        <f aca="false">'🤖 Reka Flash'!H100</f>
        <v>0</v>
      </c>
      <c r="H595" s="129" t="n">
        <f aca="false">'🤖 Reka Flash'!I100</f>
        <v>0</v>
      </c>
      <c r="I595" s="129" t="n">
        <f aca="false">'🤖 Reka Flash'!J100</f>
        <v>0</v>
      </c>
    </row>
    <row r="596" customFormat="false" ht="15.75" hidden="false" customHeight="false" outlineLevel="0" collapsed="false">
      <c r="A596" s="128"/>
      <c r="B596" s="4"/>
      <c r="C596" s="6"/>
      <c r="D596" s="168"/>
      <c r="E596" s="6"/>
      <c r="F596" s="6"/>
      <c r="G596" s="6"/>
      <c r="H596" s="6"/>
      <c r="I596" s="6"/>
    </row>
    <row r="597" customFormat="false" ht="15.75" hidden="false" customHeight="false" outlineLevel="0" collapsed="false">
      <c r="A597" s="128" t="n">
        <f aca="false">'🤖 Reka Flash'!$A$102</f>
        <v>0</v>
      </c>
      <c r="B597" s="4" t="s">
        <v>23</v>
      </c>
      <c r="C597" s="129" t="str">
        <f aca="false">'🤖 Reka Flash'!C102</f>
        <v>Base</v>
      </c>
      <c r="D597" s="168" t="n">
        <f aca="false">'🤖 Reka Flash'!E102</f>
        <v>0.001901140684</v>
      </c>
      <c r="E597" s="129" t="n">
        <f aca="false">'🤖 Reka Flash'!F102</f>
        <v>0</v>
      </c>
      <c r="F597" s="129" t="n">
        <f aca="false">'🤖 Reka Flash'!G102</f>
        <v>0</v>
      </c>
      <c r="G597" s="129" t="n">
        <f aca="false">'🤖 Reka Flash'!H102</f>
        <v>0</v>
      </c>
      <c r="H597" s="129" t="n">
        <f aca="false">'🤖 Reka Flash'!I102</f>
        <v>0</v>
      </c>
      <c r="I597" s="129" t="n">
        <f aca="false">'🤖 Reka Flash'!J102</f>
        <v>0</v>
      </c>
    </row>
    <row r="598" customFormat="false" ht="15.75" hidden="false" customHeight="false" outlineLevel="0" collapsed="false">
      <c r="A598" s="128" t="n">
        <f aca="false">'🤖 Reka Flash'!$A$102</f>
        <v>0</v>
      </c>
      <c r="B598" s="4" t="s">
        <v>23</v>
      </c>
      <c r="C598" s="129" t="str">
        <f aca="false">'🤖 Reka Flash'!C103</f>
        <v>CoT</v>
      </c>
      <c r="D598" s="168" t="n">
        <f aca="false">'🤖 Reka Flash'!E103</f>
        <v>0.001901140684</v>
      </c>
      <c r="E598" s="129" t="n">
        <f aca="false">'🤖 Reka Flash'!F103</f>
        <v>0</v>
      </c>
      <c r="F598" s="129" t="n">
        <f aca="false">'🤖 Reka Flash'!G103</f>
        <v>0</v>
      </c>
      <c r="G598" s="129" t="n">
        <f aca="false">'🤖 Reka Flash'!H103</f>
        <v>0</v>
      </c>
      <c r="H598" s="129" t="n">
        <f aca="false">'🤖 Reka Flash'!I103</f>
        <v>0</v>
      </c>
      <c r="I598" s="129" t="n">
        <f aca="false">'🤖 Reka Flash'!J103</f>
        <v>0</v>
      </c>
    </row>
    <row r="599" customFormat="false" ht="15.75" hidden="false" customHeight="false" outlineLevel="0" collapsed="false">
      <c r="A599" s="128" t="n">
        <f aca="false">'🤖 Reka Flash'!$A$102</f>
        <v>0</v>
      </c>
      <c r="B599" s="4" t="s">
        <v>23</v>
      </c>
      <c r="C599" s="129" t="str">
        <f aca="false">'🤖 Reka Flash'!C104</f>
        <v>5W1H</v>
      </c>
      <c r="D599" s="168" t="n">
        <f aca="false">'🤖 Reka Flash'!E104</f>
        <v>0.001901140684</v>
      </c>
      <c r="E599" s="129" t="n">
        <f aca="false">'🤖 Reka Flash'!F104</f>
        <v>0</v>
      </c>
      <c r="F599" s="129" t="n">
        <f aca="false">'🤖 Reka Flash'!G104</f>
        <v>0</v>
      </c>
      <c r="G599" s="129" t="n">
        <f aca="false">'🤖 Reka Flash'!H104</f>
        <v>0</v>
      </c>
      <c r="H599" s="129" t="n">
        <f aca="false">'🤖 Reka Flash'!I104</f>
        <v>0</v>
      </c>
      <c r="I599" s="129" t="n">
        <f aca="false">'🤖 Reka Flash'!J104</f>
        <v>0</v>
      </c>
    </row>
    <row r="600" customFormat="false" ht="15.75" hidden="false" customHeight="false" outlineLevel="0" collapsed="false">
      <c r="A600" s="128" t="n">
        <f aca="false">'🤖 Reka Flash'!$A$102</f>
        <v>0</v>
      </c>
      <c r="B600" s="4" t="s">
        <v>23</v>
      </c>
      <c r="C600" s="129" t="str">
        <f aca="false">'🤖 Reka Flash'!C105</f>
        <v>tldr</v>
      </c>
      <c r="D600" s="168" t="n">
        <f aca="false">'🤖 Reka Flash'!E105</f>
        <v>0.001901140684</v>
      </c>
      <c r="E600" s="129" t="n">
        <f aca="false">'🤖 Reka Flash'!F105</f>
        <v>0</v>
      </c>
      <c r="F600" s="129" t="n">
        <f aca="false">'🤖 Reka Flash'!G105</f>
        <v>0</v>
      </c>
      <c r="G600" s="129" t="n">
        <f aca="false">'🤖 Reka Flash'!H105</f>
        <v>0</v>
      </c>
      <c r="H600" s="129" t="n">
        <f aca="false">'🤖 Reka Flash'!I105</f>
        <v>0</v>
      </c>
      <c r="I600" s="129" t="n">
        <f aca="false">'🤖 Reka Flash'!J105</f>
        <v>0</v>
      </c>
    </row>
    <row r="601" customFormat="false" ht="15.75" hidden="false" customHeight="false" outlineLevel="0" collapsed="false">
      <c r="A601" s="128"/>
      <c r="B601" s="4"/>
      <c r="C601" s="6"/>
      <c r="D601" s="168"/>
      <c r="E601" s="6"/>
      <c r="F601" s="6"/>
      <c r="G601" s="6"/>
      <c r="H601" s="6"/>
      <c r="I601" s="6"/>
    </row>
    <row r="602" customFormat="false" ht="15.75" hidden="false" customHeight="false" outlineLevel="0" collapsed="false">
      <c r="A602" s="128" t="n">
        <f aca="false">'🤖 Reka Flash'!$A$107</f>
        <v>0</v>
      </c>
      <c r="B602" s="4" t="s">
        <v>23</v>
      </c>
      <c r="C602" s="129" t="str">
        <f aca="false">'🤖 Reka Flash'!C107</f>
        <v>Base</v>
      </c>
      <c r="D602" s="168" t="n">
        <f aca="false">'🤖 Reka Flash'!E107</f>
        <v>0.001901140684</v>
      </c>
      <c r="E602" s="129" t="n">
        <f aca="false">'🤖 Reka Flash'!F107</f>
        <v>0</v>
      </c>
      <c r="F602" s="129" t="n">
        <f aca="false">'🤖 Reka Flash'!G107</f>
        <v>0</v>
      </c>
      <c r="G602" s="129" t="n">
        <f aca="false">'🤖 Reka Flash'!H107</f>
        <v>0</v>
      </c>
      <c r="H602" s="129" t="n">
        <f aca="false">'🤖 Reka Flash'!I107</f>
        <v>0</v>
      </c>
      <c r="I602" s="129" t="n">
        <f aca="false">'🤖 Reka Flash'!J107</f>
        <v>0</v>
      </c>
    </row>
    <row r="603" customFormat="false" ht="15.75" hidden="false" customHeight="false" outlineLevel="0" collapsed="false">
      <c r="A603" s="128" t="n">
        <f aca="false">'🤖 Reka Flash'!$A$107</f>
        <v>0</v>
      </c>
      <c r="B603" s="4" t="s">
        <v>23</v>
      </c>
      <c r="C603" s="129" t="str">
        <f aca="false">'🤖 Reka Flash'!C108</f>
        <v>CoT</v>
      </c>
      <c r="D603" s="168" t="n">
        <f aca="false">'🤖 Reka Flash'!E108</f>
        <v>0.001901140684</v>
      </c>
      <c r="E603" s="129" t="n">
        <f aca="false">'🤖 Reka Flash'!F108</f>
        <v>0</v>
      </c>
      <c r="F603" s="129" t="n">
        <f aca="false">'🤖 Reka Flash'!G108</f>
        <v>0</v>
      </c>
      <c r="G603" s="129" t="n">
        <f aca="false">'🤖 Reka Flash'!H108</f>
        <v>0</v>
      </c>
      <c r="H603" s="129" t="n">
        <f aca="false">'🤖 Reka Flash'!I108</f>
        <v>0</v>
      </c>
      <c r="I603" s="129" t="n">
        <f aca="false">'🤖 Reka Flash'!J108</f>
        <v>0</v>
      </c>
    </row>
    <row r="604" customFormat="false" ht="15.75" hidden="false" customHeight="false" outlineLevel="0" collapsed="false">
      <c r="A604" s="128" t="n">
        <f aca="false">'🤖 Reka Flash'!$A$107</f>
        <v>0</v>
      </c>
      <c r="B604" s="4" t="s">
        <v>23</v>
      </c>
      <c r="C604" s="129" t="str">
        <f aca="false">'🤖 Reka Flash'!C109</f>
        <v>5W1H</v>
      </c>
      <c r="D604" s="168" t="n">
        <f aca="false">'🤖 Reka Flash'!E109</f>
        <v>0.001901140684</v>
      </c>
      <c r="E604" s="129" t="n">
        <f aca="false">'🤖 Reka Flash'!F109</f>
        <v>0</v>
      </c>
      <c r="F604" s="129" t="n">
        <f aca="false">'🤖 Reka Flash'!G109</f>
        <v>0</v>
      </c>
      <c r="G604" s="129" t="n">
        <f aca="false">'🤖 Reka Flash'!H109</f>
        <v>0</v>
      </c>
      <c r="H604" s="129" t="n">
        <f aca="false">'🤖 Reka Flash'!I109</f>
        <v>0</v>
      </c>
      <c r="I604" s="129" t="n">
        <f aca="false">'🤖 Reka Flash'!J109</f>
        <v>0</v>
      </c>
    </row>
    <row r="605" customFormat="false" ht="15.75" hidden="false" customHeight="false" outlineLevel="0" collapsed="false">
      <c r="A605" s="128" t="n">
        <f aca="false">'🤖 Reka Flash'!$A$107</f>
        <v>0</v>
      </c>
      <c r="B605" s="4" t="s">
        <v>23</v>
      </c>
      <c r="C605" s="129" t="str">
        <f aca="false">'🤖 Reka Flash'!C110</f>
        <v>tldr</v>
      </c>
      <c r="D605" s="168" t="n">
        <f aca="false">'🤖 Reka Flash'!E110</f>
        <v>0.001901140684</v>
      </c>
      <c r="E605" s="129" t="n">
        <f aca="false">'🤖 Reka Flash'!F110</f>
        <v>0</v>
      </c>
      <c r="F605" s="129" t="n">
        <f aca="false">'🤖 Reka Flash'!G110</f>
        <v>0</v>
      </c>
      <c r="G605" s="129" t="n">
        <f aca="false">'🤖 Reka Flash'!H110</f>
        <v>0</v>
      </c>
      <c r="H605" s="129" t="n">
        <f aca="false">'🤖 Reka Flash'!I110</f>
        <v>0</v>
      </c>
      <c r="I605" s="129" t="n">
        <f aca="false">'🤖 Reka Flash'!J110</f>
        <v>0</v>
      </c>
    </row>
    <row r="606" customFormat="false" ht="15.75" hidden="false" customHeight="false" outlineLevel="0" collapsed="false">
      <c r="A606" s="128"/>
      <c r="B606" s="4"/>
      <c r="C606" s="6"/>
      <c r="D606" s="168"/>
      <c r="E606" s="6"/>
      <c r="F606" s="6"/>
      <c r="G606" s="6"/>
      <c r="H606" s="6"/>
      <c r="I606" s="6"/>
    </row>
    <row r="607" customFormat="false" ht="15.75" hidden="false" customHeight="false" outlineLevel="0" collapsed="false">
      <c r="A607" s="128" t="n">
        <f aca="false">'🤖 Reka Flash'!$A$112</f>
        <v>0</v>
      </c>
      <c r="B607" s="4" t="s">
        <v>23</v>
      </c>
      <c r="C607" s="129" t="str">
        <f aca="false">'🤖 Reka Flash'!C112</f>
        <v>Base</v>
      </c>
      <c r="D607" s="168" t="n">
        <f aca="false">'🤖 Reka Flash'!E112</f>
        <v>0.001901140684</v>
      </c>
      <c r="E607" s="129" t="n">
        <f aca="false">'🤖 Reka Flash'!F112</f>
        <v>0</v>
      </c>
      <c r="F607" s="129" t="n">
        <f aca="false">'🤖 Reka Flash'!G112</f>
        <v>0</v>
      </c>
      <c r="G607" s="129" t="n">
        <f aca="false">'🤖 Reka Flash'!H112</f>
        <v>0</v>
      </c>
      <c r="H607" s="129" t="n">
        <f aca="false">'🤖 Reka Flash'!I112</f>
        <v>0</v>
      </c>
      <c r="I607" s="129" t="n">
        <f aca="false">'🤖 Reka Flash'!J112</f>
        <v>0</v>
      </c>
    </row>
    <row r="608" customFormat="false" ht="15.75" hidden="false" customHeight="false" outlineLevel="0" collapsed="false">
      <c r="A608" s="128" t="n">
        <f aca="false">'🤖 Reka Flash'!$A$112</f>
        <v>0</v>
      </c>
      <c r="B608" s="4" t="s">
        <v>23</v>
      </c>
      <c r="C608" s="129" t="str">
        <f aca="false">'🤖 Reka Flash'!C113</f>
        <v>CoT</v>
      </c>
      <c r="D608" s="168" t="n">
        <f aca="false">'🤖 Reka Flash'!E113</f>
        <v>0.001901140684</v>
      </c>
      <c r="E608" s="129" t="n">
        <f aca="false">'🤖 Reka Flash'!F113</f>
        <v>0</v>
      </c>
      <c r="F608" s="129" t="n">
        <f aca="false">'🤖 Reka Flash'!G113</f>
        <v>0</v>
      </c>
      <c r="G608" s="129" t="n">
        <f aca="false">'🤖 Reka Flash'!H113</f>
        <v>0</v>
      </c>
      <c r="H608" s="129" t="n">
        <f aca="false">'🤖 Reka Flash'!I113</f>
        <v>0</v>
      </c>
      <c r="I608" s="129" t="n">
        <f aca="false">'🤖 Reka Flash'!J113</f>
        <v>0</v>
      </c>
    </row>
    <row r="609" customFormat="false" ht="15.75" hidden="false" customHeight="false" outlineLevel="0" collapsed="false">
      <c r="A609" s="128" t="n">
        <f aca="false">'🤖 Reka Flash'!$A$112</f>
        <v>0</v>
      </c>
      <c r="B609" s="4" t="s">
        <v>23</v>
      </c>
      <c r="C609" s="129" t="str">
        <f aca="false">'🤖 Reka Flash'!C114</f>
        <v>5W1H</v>
      </c>
      <c r="D609" s="168" t="n">
        <f aca="false">'🤖 Reka Flash'!E114</f>
        <v>0.001901140684</v>
      </c>
      <c r="E609" s="129" t="n">
        <f aca="false">'🤖 Reka Flash'!F114</f>
        <v>0</v>
      </c>
      <c r="F609" s="129" t="n">
        <f aca="false">'🤖 Reka Flash'!G114</f>
        <v>0</v>
      </c>
      <c r="G609" s="129" t="n">
        <f aca="false">'🤖 Reka Flash'!H114</f>
        <v>0</v>
      </c>
      <c r="H609" s="129" t="n">
        <f aca="false">'🤖 Reka Flash'!I114</f>
        <v>0</v>
      </c>
      <c r="I609" s="129" t="n">
        <f aca="false">'🤖 Reka Flash'!J114</f>
        <v>0</v>
      </c>
    </row>
    <row r="610" customFormat="false" ht="15.75" hidden="false" customHeight="false" outlineLevel="0" collapsed="false">
      <c r="A610" s="128" t="n">
        <f aca="false">'🤖 Reka Flash'!$A$112</f>
        <v>0</v>
      </c>
      <c r="B610" s="4" t="s">
        <v>23</v>
      </c>
      <c r="C610" s="129" t="str">
        <f aca="false">'🤖 Reka Flash'!C115</f>
        <v>tldr</v>
      </c>
      <c r="D610" s="168" t="n">
        <f aca="false">'🤖 Reka Flash'!E115</f>
        <v>0.001901140684</v>
      </c>
      <c r="E610" s="129" t="n">
        <f aca="false">'🤖 Reka Flash'!F115</f>
        <v>0</v>
      </c>
      <c r="F610" s="129" t="n">
        <f aca="false">'🤖 Reka Flash'!G115</f>
        <v>0</v>
      </c>
      <c r="G610" s="129" t="n">
        <f aca="false">'🤖 Reka Flash'!H115</f>
        <v>0</v>
      </c>
      <c r="H610" s="129" t="n">
        <f aca="false">'🤖 Reka Flash'!I115</f>
        <v>0</v>
      </c>
      <c r="I610" s="129" t="n">
        <f aca="false">'🤖 Reka Flash'!J115</f>
        <v>0</v>
      </c>
    </row>
    <row r="611" customFormat="false" ht="15.75" hidden="false" customHeight="false" outlineLevel="0" collapsed="false">
      <c r="A611" s="128"/>
      <c r="B611" s="4"/>
      <c r="C611" s="6"/>
      <c r="D611" s="168"/>
      <c r="E611" s="6"/>
      <c r="F611" s="6"/>
      <c r="G611" s="6"/>
      <c r="H611" s="6"/>
      <c r="I611" s="6"/>
    </row>
    <row r="612" customFormat="false" ht="15.75" hidden="false" customHeight="false" outlineLevel="0" collapsed="false">
      <c r="A612" s="128" t="n">
        <f aca="false">'🤖 Reka Flash'!$A$117</f>
        <v>0</v>
      </c>
      <c r="B612" s="4" t="s">
        <v>23</v>
      </c>
      <c r="C612" s="129" t="str">
        <f aca="false">'🤖 Reka Flash'!C117</f>
        <v>Base</v>
      </c>
      <c r="D612" s="168" t="n">
        <f aca="false">'🤖 Reka Flash'!E117</f>
        <v>0.001901140684</v>
      </c>
      <c r="E612" s="129" t="n">
        <f aca="false">'🤖 Reka Flash'!F117</f>
        <v>0</v>
      </c>
      <c r="F612" s="129" t="n">
        <f aca="false">'🤖 Reka Flash'!G117</f>
        <v>0</v>
      </c>
      <c r="G612" s="129" t="n">
        <f aca="false">'🤖 Reka Flash'!H117</f>
        <v>0</v>
      </c>
      <c r="H612" s="129" t="n">
        <f aca="false">'🤖 Reka Flash'!I117</f>
        <v>0</v>
      </c>
      <c r="I612" s="129" t="n">
        <f aca="false">'🤖 Reka Flash'!J117</f>
        <v>0</v>
      </c>
    </row>
    <row r="613" customFormat="false" ht="15.75" hidden="false" customHeight="false" outlineLevel="0" collapsed="false">
      <c r="A613" s="128" t="n">
        <f aca="false">'🤖 Reka Flash'!$A$117</f>
        <v>0</v>
      </c>
      <c r="B613" s="4" t="s">
        <v>23</v>
      </c>
      <c r="C613" s="129" t="str">
        <f aca="false">'🤖 Reka Flash'!C118</f>
        <v>CoT</v>
      </c>
      <c r="D613" s="168" t="n">
        <f aca="false">'🤖 Reka Flash'!E118</f>
        <v>0.001901140684</v>
      </c>
      <c r="E613" s="129" t="n">
        <f aca="false">'🤖 Reka Flash'!F118</f>
        <v>0</v>
      </c>
      <c r="F613" s="129" t="n">
        <f aca="false">'🤖 Reka Flash'!G118</f>
        <v>0</v>
      </c>
      <c r="G613" s="129" t="n">
        <f aca="false">'🤖 Reka Flash'!H118</f>
        <v>0</v>
      </c>
      <c r="H613" s="129" t="n">
        <f aca="false">'🤖 Reka Flash'!I118</f>
        <v>0</v>
      </c>
      <c r="I613" s="129" t="n">
        <f aca="false">'🤖 Reka Flash'!J118</f>
        <v>0</v>
      </c>
    </row>
    <row r="614" customFormat="false" ht="15.75" hidden="false" customHeight="false" outlineLevel="0" collapsed="false">
      <c r="A614" s="128" t="n">
        <f aca="false">'🤖 Reka Flash'!$A$117</f>
        <v>0</v>
      </c>
      <c r="B614" s="4" t="s">
        <v>23</v>
      </c>
      <c r="C614" s="129" t="str">
        <f aca="false">'🤖 Reka Flash'!C119</f>
        <v>5W1H</v>
      </c>
      <c r="D614" s="168" t="n">
        <f aca="false">'🤖 Reka Flash'!E119</f>
        <v>0.001901140684</v>
      </c>
      <c r="E614" s="129" t="n">
        <f aca="false">'🤖 Reka Flash'!F119</f>
        <v>0</v>
      </c>
      <c r="F614" s="129" t="n">
        <f aca="false">'🤖 Reka Flash'!G119</f>
        <v>0</v>
      </c>
      <c r="G614" s="129" t="n">
        <f aca="false">'🤖 Reka Flash'!H119</f>
        <v>0</v>
      </c>
      <c r="H614" s="129" t="n">
        <f aca="false">'🤖 Reka Flash'!I119</f>
        <v>0</v>
      </c>
      <c r="I614" s="129" t="n">
        <f aca="false">'🤖 Reka Flash'!J119</f>
        <v>0</v>
      </c>
    </row>
    <row r="615" customFormat="false" ht="15.75" hidden="false" customHeight="false" outlineLevel="0" collapsed="false">
      <c r="A615" s="128" t="n">
        <f aca="false">'🤖 Reka Flash'!$A$117</f>
        <v>0</v>
      </c>
      <c r="B615" s="4" t="s">
        <v>23</v>
      </c>
      <c r="C615" s="129" t="str">
        <f aca="false">'🤖 Reka Flash'!C120</f>
        <v>tldr</v>
      </c>
      <c r="D615" s="168" t="n">
        <f aca="false">'🤖 Reka Flash'!E120</f>
        <v>0.001901140684</v>
      </c>
      <c r="E615" s="129" t="n">
        <f aca="false">'🤖 Reka Flash'!F120</f>
        <v>0</v>
      </c>
      <c r="F615" s="129" t="n">
        <f aca="false">'🤖 Reka Flash'!G120</f>
        <v>0</v>
      </c>
      <c r="G615" s="129" t="n">
        <f aca="false">'🤖 Reka Flash'!H120</f>
        <v>0</v>
      </c>
      <c r="H615" s="129" t="n">
        <f aca="false">'🤖 Reka Flash'!I120</f>
        <v>0</v>
      </c>
      <c r="I615" s="129" t="n">
        <f aca="false">'🤖 Reka Flash'!J120</f>
        <v>0</v>
      </c>
    </row>
    <row r="616" customFormat="false" ht="15.75" hidden="false" customHeight="false" outlineLevel="0" collapsed="false">
      <c r="A616" s="128"/>
      <c r="B616" s="4"/>
      <c r="C616" s="6"/>
      <c r="D616" s="168"/>
      <c r="E616" s="6"/>
      <c r="F616" s="6"/>
      <c r="G616" s="6"/>
      <c r="H616" s="6"/>
      <c r="I616" s="6"/>
    </row>
    <row r="617" customFormat="false" ht="15.75" hidden="false" customHeight="false" outlineLevel="0" collapsed="false">
      <c r="A617" s="128" t="n">
        <f aca="false">'🤖 Reka Flash'!$A$122</f>
        <v>0</v>
      </c>
      <c r="B617" s="4" t="s">
        <v>23</v>
      </c>
      <c r="C617" s="129" t="str">
        <f aca="false">'🤖 Reka Flash'!C122</f>
        <v>Base</v>
      </c>
      <c r="D617" s="168" t="n">
        <f aca="false">'🤖 Reka Flash'!E122</f>
        <v>0.001901140684</v>
      </c>
      <c r="E617" s="129" t="n">
        <f aca="false">'🤖 Reka Flash'!F122</f>
        <v>0</v>
      </c>
      <c r="F617" s="129" t="n">
        <f aca="false">'🤖 Reka Flash'!G122</f>
        <v>0</v>
      </c>
      <c r="G617" s="129" t="n">
        <f aca="false">'🤖 Reka Flash'!H122</f>
        <v>0</v>
      </c>
      <c r="H617" s="129" t="n">
        <f aca="false">'🤖 Reka Flash'!I122</f>
        <v>0</v>
      </c>
      <c r="I617" s="129" t="n">
        <f aca="false">'🤖 Reka Flash'!J122</f>
        <v>0</v>
      </c>
    </row>
    <row r="618" customFormat="false" ht="15.75" hidden="false" customHeight="false" outlineLevel="0" collapsed="false">
      <c r="A618" s="128" t="n">
        <f aca="false">'🤖 Reka Flash'!$A$122</f>
        <v>0</v>
      </c>
      <c r="B618" s="4" t="s">
        <v>23</v>
      </c>
      <c r="C618" s="129" t="str">
        <f aca="false">'🤖 Reka Flash'!C123</f>
        <v>CoT</v>
      </c>
      <c r="D618" s="168" t="n">
        <f aca="false">'🤖 Reka Flash'!E123</f>
        <v>0.001901140684</v>
      </c>
      <c r="E618" s="129" t="n">
        <f aca="false">'🤖 Reka Flash'!F123</f>
        <v>0</v>
      </c>
      <c r="F618" s="129" t="n">
        <f aca="false">'🤖 Reka Flash'!G123</f>
        <v>0</v>
      </c>
      <c r="G618" s="129" t="n">
        <f aca="false">'🤖 Reka Flash'!H123</f>
        <v>0</v>
      </c>
      <c r="H618" s="129" t="n">
        <f aca="false">'🤖 Reka Flash'!I123</f>
        <v>0</v>
      </c>
      <c r="I618" s="129" t="n">
        <f aca="false">'🤖 Reka Flash'!J123</f>
        <v>0</v>
      </c>
    </row>
    <row r="619" customFormat="false" ht="15.75" hidden="false" customHeight="false" outlineLevel="0" collapsed="false">
      <c r="A619" s="128" t="n">
        <f aca="false">'🤖 Reka Flash'!$A$122</f>
        <v>0</v>
      </c>
      <c r="B619" s="4" t="s">
        <v>23</v>
      </c>
      <c r="C619" s="129" t="str">
        <f aca="false">'🤖 Reka Flash'!C124</f>
        <v>5W1H</v>
      </c>
      <c r="D619" s="168" t="n">
        <f aca="false">'🤖 Reka Flash'!E124</f>
        <v>0.001901140684</v>
      </c>
      <c r="E619" s="129" t="n">
        <f aca="false">'🤖 Reka Flash'!F124</f>
        <v>0</v>
      </c>
      <c r="F619" s="129" t="n">
        <f aca="false">'🤖 Reka Flash'!G124</f>
        <v>0</v>
      </c>
      <c r="G619" s="129" t="n">
        <f aca="false">'🤖 Reka Flash'!H124</f>
        <v>0</v>
      </c>
      <c r="H619" s="129" t="n">
        <f aca="false">'🤖 Reka Flash'!I124</f>
        <v>0</v>
      </c>
      <c r="I619" s="129" t="n">
        <f aca="false">'🤖 Reka Flash'!J124</f>
        <v>0</v>
      </c>
    </row>
    <row r="620" customFormat="false" ht="15.75" hidden="false" customHeight="false" outlineLevel="0" collapsed="false">
      <c r="A620" s="128" t="n">
        <f aca="false">'🤖 Reka Flash'!$A$122</f>
        <v>0</v>
      </c>
      <c r="B620" s="4" t="s">
        <v>23</v>
      </c>
      <c r="C620" s="129" t="str">
        <f aca="false">'🤖 Reka Flash'!C125</f>
        <v>tldr</v>
      </c>
      <c r="D620" s="168" t="n">
        <f aca="false">'🤖 Reka Flash'!E125</f>
        <v>0.001901140684</v>
      </c>
      <c r="E620" s="129" t="n">
        <f aca="false">'🤖 Reka Flash'!F125</f>
        <v>0</v>
      </c>
      <c r="F620" s="129" t="n">
        <f aca="false">'🤖 Reka Flash'!G125</f>
        <v>0</v>
      </c>
      <c r="G620" s="129" t="n">
        <f aca="false">'🤖 Reka Flash'!H125</f>
        <v>0</v>
      </c>
      <c r="H620" s="129" t="n">
        <f aca="false">'🤖 Reka Flash'!I125</f>
        <v>0</v>
      </c>
      <c r="I620" s="129" t="n">
        <f aca="false">'🤖 Reka Flash'!J125</f>
        <v>0</v>
      </c>
    </row>
    <row r="621" customFormat="false" ht="15.75" hidden="false" customHeight="false" outlineLevel="0" collapsed="false">
      <c r="A621" s="128"/>
      <c r="B621" s="4"/>
      <c r="C621" s="6"/>
      <c r="D621" s="168"/>
      <c r="E621" s="6"/>
      <c r="F621" s="6"/>
      <c r="G621" s="6"/>
      <c r="H621" s="6"/>
      <c r="I621" s="6"/>
    </row>
    <row r="622" customFormat="false" ht="15.75" hidden="false" customHeight="false" outlineLevel="0" collapsed="false">
      <c r="A622" s="128" t="n">
        <f aca="false">'🤖 Reka Flash'!$A$127</f>
        <v>0</v>
      </c>
      <c r="B622" s="4" t="s">
        <v>23</v>
      </c>
      <c r="C622" s="129" t="str">
        <f aca="false">'🤖 Reka Flash'!C127</f>
        <v>Base</v>
      </c>
      <c r="D622" s="168" t="n">
        <f aca="false">'🤖 Reka Flash'!E127</f>
        <v>0.001901140684</v>
      </c>
      <c r="E622" s="129" t="n">
        <f aca="false">'🤖 Reka Flash'!F127</f>
        <v>0</v>
      </c>
      <c r="F622" s="129" t="n">
        <f aca="false">'🤖 Reka Flash'!G127</f>
        <v>0</v>
      </c>
      <c r="G622" s="129" t="n">
        <f aca="false">'🤖 Reka Flash'!H127</f>
        <v>0</v>
      </c>
      <c r="H622" s="129" t="n">
        <f aca="false">'🤖 Reka Flash'!I127</f>
        <v>0</v>
      </c>
      <c r="I622" s="129" t="n">
        <f aca="false">'🤖 Reka Flash'!J127</f>
        <v>0</v>
      </c>
    </row>
    <row r="623" customFormat="false" ht="15.75" hidden="false" customHeight="false" outlineLevel="0" collapsed="false">
      <c r="A623" s="128" t="n">
        <f aca="false">'🤖 Reka Flash'!$A$127</f>
        <v>0</v>
      </c>
      <c r="B623" s="4" t="s">
        <v>23</v>
      </c>
      <c r="C623" s="129" t="str">
        <f aca="false">'🤖 Reka Flash'!C128</f>
        <v>CoT</v>
      </c>
      <c r="D623" s="168" t="n">
        <f aca="false">'🤖 Reka Flash'!E128</f>
        <v>0.001901140684</v>
      </c>
      <c r="E623" s="129" t="n">
        <f aca="false">'🤖 Reka Flash'!F128</f>
        <v>0</v>
      </c>
      <c r="F623" s="129" t="n">
        <f aca="false">'🤖 Reka Flash'!G128</f>
        <v>0</v>
      </c>
      <c r="G623" s="129" t="n">
        <f aca="false">'🤖 Reka Flash'!H128</f>
        <v>0</v>
      </c>
      <c r="H623" s="129" t="n">
        <f aca="false">'🤖 Reka Flash'!I128</f>
        <v>0</v>
      </c>
      <c r="I623" s="129" t="n">
        <f aca="false">'🤖 Reka Flash'!J128</f>
        <v>0</v>
      </c>
    </row>
    <row r="624" customFormat="false" ht="15.75" hidden="false" customHeight="false" outlineLevel="0" collapsed="false">
      <c r="A624" s="128" t="n">
        <f aca="false">'🤖 Reka Flash'!$A$127</f>
        <v>0</v>
      </c>
      <c r="B624" s="4" t="s">
        <v>23</v>
      </c>
      <c r="C624" s="129" t="str">
        <f aca="false">'🤖 Reka Flash'!C129</f>
        <v>5W1H</v>
      </c>
      <c r="D624" s="168" t="n">
        <f aca="false">'🤖 Reka Flash'!E129</f>
        <v>0.001901140684</v>
      </c>
      <c r="E624" s="129" t="n">
        <f aca="false">'🤖 Reka Flash'!F129</f>
        <v>0</v>
      </c>
      <c r="F624" s="129" t="n">
        <f aca="false">'🤖 Reka Flash'!G129</f>
        <v>0</v>
      </c>
      <c r="G624" s="129" t="n">
        <f aca="false">'🤖 Reka Flash'!H129</f>
        <v>0</v>
      </c>
      <c r="H624" s="129" t="n">
        <f aca="false">'🤖 Reka Flash'!I129</f>
        <v>0</v>
      </c>
      <c r="I624" s="129" t="n">
        <f aca="false">'🤖 Reka Flash'!J129</f>
        <v>0</v>
      </c>
    </row>
    <row r="625" customFormat="false" ht="15.75" hidden="false" customHeight="false" outlineLevel="0" collapsed="false">
      <c r="A625" s="128" t="n">
        <f aca="false">'🤖 Reka Flash'!$A$127</f>
        <v>0</v>
      </c>
      <c r="B625" s="4" t="s">
        <v>23</v>
      </c>
      <c r="C625" s="129" t="str">
        <f aca="false">'🤖 Reka Flash'!C130</f>
        <v>tldr</v>
      </c>
      <c r="D625" s="168" t="n">
        <f aca="false">'🤖 Reka Flash'!E130</f>
        <v>0.001901140684</v>
      </c>
      <c r="E625" s="129" t="n">
        <f aca="false">'🤖 Reka Flash'!F130</f>
        <v>0</v>
      </c>
      <c r="F625" s="129" t="n">
        <f aca="false">'🤖 Reka Flash'!G130</f>
        <v>0</v>
      </c>
      <c r="G625" s="129" t="n">
        <f aca="false">'🤖 Reka Flash'!H130</f>
        <v>0</v>
      </c>
      <c r="H625" s="129" t="n">
        <f aca="false">'🤖 Reka Flash'!I130</f>
        <v>0</v>
      </c>
      <c r="I625" s="129" t="n">
        <f aca="false">'🤖 Reka Flash'!J130</f>
        <v>0</v>
      </c>
    </row>
    <row r="626" customFormat="false" ht="15.75" hidden="false" customHeight="false" outlineLevel="0" collapsed="false">
      <c r="A626" s="128"/>
      <c r="B626" s="4"/>
      <c r="C626" s="6"/>
      <c r="D626" s="168"/>
      <c r="E626" s="6"/>
      <c r="F626" s="6"/>
      <c r="G626" s="6"/>
      <c r="H626" s="6"/>
      <c r="I626" s="6"/>
    </row>
    <row r="627" customFormat="false" ht="15.75" hidden="false" customHeight="false" outlineLevel="0" collapsed="false">
      <c r="A627" s="128" t="n">
        <f aca="false">'🤖 Reka Flash'!$A$132</f>
        <v>0</v>
      </c>
      <c r="B627" s="4" t="s">
        <v>23</v>
      </c>
      <c r="C627" s="129" t="str">
        <f aca="false">'🤖 Reka Flash'!C132</f>
        <v>Base</v>
      </c>
      <c r="D627" s="168" t="n">
        <f aca="false">'🤖 Reka Flash'!E132</f>
        <v>0.001901140684</v>
      </c>
      <c r="E627" s="129" t="n">
        <f aca="false">'🤖 Reka Flash'!F132</f>
        <v>0</v>
      </c>
      <c r="F627" s="129" t="n">
        <f aca="false">'🤖 Reka Flash'!G132</f>
        <v>0</v>
      </c>
      <c r="G627" s="129" t="n">
        <f aca="false">'🤖 Reka Flash'!H132</f>
        <v>0</v>
      </c>
      <c r="H627" s="129" t="n">
        <f aca="false">'🤖 Reka Flash'!I132</f>
        <v>0</v>
      </c>
      <c r="I627" s="129" t="n">
        <f aca="false">'🤖 Reka Flash'!J132</f>
        <v>0</v>
      </c>
    </row>
    <row r="628" customFormat="false" ht="15.75" hidden="false" customHeight="false" outlineLevel="0" collapsed="false">
      <c r="A628" s="128" t="n">
        <f aca="false">'🤖 Reka Flash'!$A$132</f>
        <v>0</v>
      </c>
      <c r="B628" s="4" t="s">
        <v>23</v>
      </c>
      <c r="C628" s="129" t="str">
        <f aca="false">'🤖 Reka Flash'!C133</f>
        <v>CoT</v>
      </c>
      <c r="D628" s="168" t="n">
        <f aca="false">'🤖 Reka Flash'!E133</f>
        <v>0.001901140684</v>
      </c>
      <c r="E628" s="129" t="n">
        <f aca="false">'🤖 Reka Flash'!F133</f>
        <v>0</v>
      </c>
      <c r="F628" s="129" t="n">
        <f aca="false">'🤖 Reka Flash'!G133</f>
        <v>0</v>
      </c>
      <c r="G628" s="129" t="n">
        <f aca="false">'🤖 Reka Flash'!H133</f>
        <v>0</v>
      </c>
      <c r="H628" s="129" t="n">
        <f aca="false">'🤖 Reka Flash'!I133</f>
        <v>0</v>
      </c>
      <c r="I628" s="129" t="n">
        <f aca="false">'🤖 Reka Flash'!J133</f>
        <v>0</v>
      </c>
    </row>
    <row r="629" customFormat="false" ht="15.75" hidden="false" customHeight="false" outlineLevel="0" collapsed="false">
      <c r="A629" s="128" t="n">
        <f aca="false">'🤖 Reka Flash'!$A$132</f>
        <v>0</v>
      </c>
      <c r="B629" s="4" t="s">
        <v>23</v>
      </c>
      <c r="C629" s="129" t="str">
        <f aca="false">'🤖 Reka Flash'!C134</f>
        <v>5W1H</v>
      </c>
      <c r="D629" s="168" t="n">
        <f aca="false">'🤖 Reka Flash'!E134</f>
        <v>0.001901140684</v>
      </c>
      <c r="E629" s="129" t="n">
        <f aca="false">'🤖 Reka Flash'!F134</f>
        <v>0</v>
      </c>
      <c r="F629" s="129" t="n">
        <f aca="false">'🤖 Reka Flash'!G134</f>
        <v>0</v>
      </c>
      <c r="G629" s="129" t="n">
        <f aca="false">'🤖 Reka Flash'!H134</f>
        <v>0</v>
      </c>
      <c r="H629" s="129" t="n">
        <f aca="false">'🤖 Reka Flash'!I134</f>
        <v>0</v>
      </c>
      <c r="I629" s="129" t="n">
        <f aca="false">'🤖 Reka Flash'!J134</f>
        <v>0</v>
      </c>
    </row>
    <row r="630" customFormat="false" ht="15.75" hidden="false" customHeight="false" outlineLevel="0" collapsed="false">
      <c r="A630" s="128" t="n">
        <f aca="false">'🤖 Reka Flash'!$A$132</f>
        <v>0</v>
      </c>
      <c r="B630" s="4" t="s">
        <v>23</v>
      </c>
      <c r="C630" s="129" t="str">
        <f aca="false">'🤖 Reka Flash'!C135</f>
        <v>tldr</v>
      </c>
      <c r="D630" s="168" t="n">
        <f aca="false">'🤖 Reka Flash'!E135</f>
        <v>0.001901140684</v>
      </c>
      <c r="E630" s="129" t="n">
        <f aca="false">'🤖 Reka Flash'!F135</f>
        <v>0</v>
      </c>
      <c r="F630" s="129" t="n">
        <f aca="false">'🤖 Reka Flash'!G135</f>
        <v>0</v>
      </c>
      <c r="G630" s="129" t="n">
        <f aca="false">'🤖 Reka Flash'!H135</f>
        <v>0</v>
      </c>
      <c r="H630" s="129" t="n">
        <f aca="false">'🤖 Reka Flash'!I135</f>
        <v>0</v>
      </c>
      <c r="I630" s="129" t="n">
        <f aca="false">'🤖 Reka Flash'!J135</f>
        <v>0</v>
      </c>
    </row>
    <row r="631" customFormat="false" ht="15.75" hidden="false" customHeight="false" outlineLevel="0" collapsed="false">
      <c r="A631" s="128"/>
      <c r="B631" s="4"/>
      <c r="C631" s="6"/>
      <c r="D631" s="168"/>
      <c r="E631" s="6"/>
      <c r="F631" s="6"/>
      <c r="G631" s="6"/>
      <c r="H631" s="6"/>
      <c r="I631" s="6"/>
    </row>
    <row r="632" customFormat="false" ht="15.75" hidden="false" customHeight="false" outlineLevel="0" collapsed="false">
      <c r="A632" s="128" t="n">
        <f aca="false">'🤖 Reka Flash'!$A$137</f>
        <v>0</v>
      </c>
      <c r="B632" s="4" t="s">
        <v>23</v>
      </c>
      <c r="C632" s="129" t="str">
        <f aca="false">'🤖 Reka Flash'!C137</f>
        <v>Base</v>
      </c>
      <c r="D632" s="168" t="n">
        <f aca="false">'🤖 Reka Flash'!E137</f>
        <v>0.001901140684</v>
      </c>
      <c r="E632" s="129" t="n">
        <f aca="false">'🤖 Reka Flash'!F137</f>
        <v>0</v>
      </c>
      <c r="F632" s="129" t="n">
        <f aca="false">'🤖 Reka Flash'!G137</f>
        <v>0</v>
      </c>
      <c r="G632" s="129" t="n">
        <f aca="false">'🤖 Reka Flash'!H137</f>
        <v>0</v>
      </c>
      <c r="H632" s="129" t="n">
        <f aca="false">'🤖 Reka Flash'!I137</f>
        <v>0</v>
      </c>
      <c r="I632" s="129" t="n">
        <f aca="false">'🤖 Reka Flash'!J137</f>
        <v>0</v>
      </c>
    </row>
    <row r="633" customFormat="false" ht="15.75" hidden="false" customHeight="false" outlineLevel="0" collapsed="false">
      <c r="A633" s="128" t="n">
        <f aca="false">'🤖 Reka Flash'!$A$137</f>
        <v>0</v>
      </c>
      <c r="B633" s="4" t="s">
        <v>23</v>
      </c>
      <c r="C633" s="129" t="str">
        <f aca="false">'🤖 Reka Flash'!C138</f>
        <v>CoT</v>
      </c>
      <c r="D633" s="168" t="n">
        <f aca="false">'🤖 Reka Flash'!E138</f>
        <v>0.001901140684</v>
      </c>
      <c r="E633" s="129" t="n">
        <f aca="false">'🤖 Reka Flash'!F138</f>
        <v>0</v>
      </c>
      <c r="F633" s="129" t="n">
        <f aca="false">'🤖 Reka Flash'!G138</f>
        <v>0</v>
      </c>
      <c r="G633" s="129" t="n">
        <f aca="false">'🤖 Reka Flash'!H138</f>
        <v>0</v>
      </c>
      <c r="H633" s="129" t="n">
        <f aca="false">'🤖 Reka Flash'!I138</f>
        <v>0</v>
      </c>
      <c r="I633" s="129" t="n">
        <f aca="false">'🤖 Reka Flash'!J138</f>
        <v>0</v>
      </c>
    </row>
    <row r="634" customFormat="false" ht="15.75" hidden="false" customHeight="false" outlineLevel="0" collapsed="false">
      <c r="A634" s="128" t="n">
        <f aca="false">'🤖 Reka Flash'!$A$137</f>
        <v>0</v>
      </c>
      <c r="B634" s="4" t="s">
        <v>23</v>
      </c>
      <c r="C634" s="129" t="str">
        <f aca="false">'🤖 Reka Flash'!C139</f>
        <v>5W1H</v>
      </c>
      <c r="D634" s="168" t="n">
        <f aca="false">'🤖 Reka Flash'!E139</f>
        <v>0.001901140684</v>
      </c>
      <c r="E634" s="129" t="n">
        <f aca="false">'🤖 Reka Flash'!F139</f>
        <v>0</v>
      </c>
      <c r="F634" s="129" t="n">
        <f aca="false">'🤖 Reka Flash'!G139</f>
        <v>0</v>
      </c>
      <c r="G634" s="129" t="n">
        <f aca="false">'🤖 Reka Flash'!H139</f>
        <v>0</v>
      </c>
      <c r="H634" s="129" t="n">
        <f aca="false">'🤖 Reka Flash'!I139</f>
        <v>0</v>
      </c>
      <c r="I634" s="129" t="n">
        <f aca="false">'🤖 Reka Flash'!J139</f>
        <v>0</v>
      </c>
    </row>
    <row r="635" customFormat="false" ht="15.75" hidden="false" customHeight="false" outlineLevel="0" collapsed="false">
      <c r="A635" s="128" t="n">
        <f aca="false">'🤖 Reka Flash'!$A$137</f>
        <v>0</v>
      </c>
      <c r="B635" s="4" t="s">
        <v>23</v>
      </c>
      <c r="C635" s="129" t="str">
        <f aca="false">'🤖 Reka Flash'!C140</f>
        <v>tldr</v>
      </c>
      <c r="D635" s="168" t="n">
        <f aca="false">'🤖 Reka Flash'!E140</f>
        <v>0.001901140684</v>
      </c>
      <c r="E635" s="129" t="n">
        <f aca="false">'🤖 Reka Flash'!F140</f>
        <v>0</v>
      </c>
      <c r="F635" s="129" t="n">
        <f aca="false">'🤖 Reka Flash'!G140</f>
        <v>0</v>
      </c>
      <c r="G635" s="129" t="n">
        <f aca="false">'🤖 Reka Flash'!H140</f>
        <v>0</v>
      </c>
      <c r="H635" s="129" t="n">
        <f aca="false">'🤖 Reka Flash'!I140</f>
        <v>0</v>
      </c>
      <c r="I635" s="129" t="n">
        <f aca="false">'🤖 Reka Flash'!J140</f>
        <v>0</v>
      </c>
    </row>
    <row r="636" customFormat="false" ht="15.75" hidden="false" customHeight="false" outlineLevel="0" collapsed="false">
      <c r="A636" s="128"/>
      <c r="B636" s="4"/>
      <c r="C636" s="6"/>
      <c r="D636" s="168"/>
      <c r="E636" s="6"/>
      <c r="F636" s="6"/>
      <c r="G636" s="6"/>
      <c r="H636" s="6"/>
      <c r="I636" s="6"/>
    </row>
    <row r="637" customFormat="false" ht="15.75" hidden="false" customHeight="false" outlineLevel="0" collapsed="false">
      <c r="A637" s="128" t="n">
        <f aca="false">'🤖 Reka Flash'!$A$142</f>
        <v>0</v>
      </c>
      <c r="B637" s="4" t="s">
        <v>23</v>
      </c>
      <c r="C637" s="129" t="str">
        <f aca="false">'🤖 Reka Flash'!C142</f>
        <v>Base</v>
      </c>
      <c r="D637" s="168" t="n">
        <f aca="false">'🤖 Reka Flash'!E142</f>
        <v>0.001901140684</v>
      </c>
      <c r="E637" s="129" t="n">
        <f aca="false">'🤖 Reka Flash'!F142</f>
        <v>0</v>
      </c>
      <c r="F637" s="129" t="n">
        <f aca="false">'🤖 Reka Flash'!G142</f>
        <v>0</v>
      </c>
      <c r="G637" s="129" t="n">
        <f aca="false">'🤖 Reka Flash'!H142</f>
        <v>0</v>
      </c>
      <c r="H637" s="129" t="n">
        <f aca="false">'🤖 Reka Flash'!I142</f>
        <v>0</v>
      </c>
      <c r="I637" s="129" t="n">
        <f aca="false">'🤖 Reka Flash'!J142</f>
        <v>0</v>
      </c>
    </row>
    <row r="638" customFormat="false" ht="15.75" hidden="false" customHeight="false" outlineLevel="0" collapsed="false">
      <c r="A638" s="128" t="n">
        <f aca="false">'🤖 Reka Flash'!$A$142</f>
        <v>0</v>
      </c>
      <c r="B638" s="4" t="s">
        <v>23</v>
      </c>
      <c r="C638" s="129" t="str">
        <f aca="false">'🤖 Reka Flash'!C143</f>
        <v>CoT</v>
      </c>
      <c r="D638" s="168" t="n">
        <f aca="false">'🤖 Reka Flash'!E143</f>
        <v>0.001901140684</v>
      </c>
      <c r="E638" s="129" t="n">
        <f aca="false">'🤖 Reka Flash'!F143</f>
        <v>0</v>
      </c>
      <c r="F638" s="129" t="n">
        <f aca="false">'🤖 Reka Flash'!G143</f>
        <v>0</v>
      </c>
      <c r="G638" s="129" t="n">
        <f aca="false">'🤖 Reka Flash'!H143</f>
        <v>0</v>
      </c>
      <c r="H638" s="129" t="n">
        <f aca="false">'🤖 Reka Flash'!I143</f>
        <v>0</v>
      </c>
      <c r="I638" s="129" t="n">
        <f aca="false">'🤖 Reka Flash'!J143</f>
        <v>0</v>
      </c>
    </row>
    <row r="639" customFormat="false" ht="15.75" hidden="false" customHeight="false" outlineLevel="0" collapsed="false">
      <c r="A639" s="128" t="n">
        <f aca="false">'🤖 Reka Flash'!$A$142</f>
        <v>0</v>
      </c>
      <c r="B639" s="4" t="s">
        <v>23</v>
      </c>
      <c r="C639" s="129" t="str">
        <f aca="false">'🤖 Reka Flash'!C144</f>
        <v>5W1H</v>
      </c>
      <c r="D639" s="168" t="n">
        <f aca="false">'🤖 Reka Flash'!E144</f>
        <v>0.001901140684</v>
      </c>
      <c r="E639" s="129" t="n">
        <f aca="false">'🤖 Reka Flash'!F144</f>
        <v>0</v>
      </c>
      <c r="F639" s="129" t="n">
        <f aca="false">'🤖 Reka Flash'!G144</f>
        <v>0</v>
      </c>
      <c r="G639" s="129" t="n">
        <f aca="false">'🤖 Reka Flash'!H144</f>
        <v>0</v>
      </c>
      <c r="H639" s="129" t="n">
        <f aca="false">'🤖 Reka Flash'!I144</f>
        <v>0</v>
      </c>
      <c r="I639" s="129" t="n">
        <f aca="false">'🤖 Reka Flash'!J144</f>
        <v>0</v>
      </c>
    </row>
    <row r="640" customFormat="false" ht="15.75" hidden="false" customHeight="false" outlineLevel="0" collapsed="false">
      <c r="A640" s="128" t="n">
        <f aca="false">'🤖 Reka Flash'!$A$142</f>
        <v>0</v>
      </c>
      <c r="B640" s="4" t="s">
        <v>23</v>
      </c>
      <c r="C640" s="129" t="str">
        <f aca="false">'🤖 Reka Flash'!C145</f>
        <v>tldr</v>
      </c>
      <c r="D640" s="168" t="n">
        <f aca="false">'🤖 Reka Flash'!E145</f>
        <v>0.001901140684</v>
      </c>
      <c r="E640" s="129" t="n">
        <f aca="false">'🤖 Reka Flash'!F145</f>
        <v>0</v>
      </c>
      <c r="F640" s="129" t="n">
        <f aca="false">'🤖 Reka Flash'!G145</f>
        <v>0</v>
      </c>
      <c r="G640" s="129" t="n">
        <f aca="false">'🤖 Reka Flash'!H145</f>
        <v>0</v>
      </c>
      <c r="H640" s="129" t="n">
        <f aca="false">'🤖 Reka Flash'!I145</f>
        <v>0</v>
      </c>
      <c r="I640" s="129" t="n">
        <f aca="false">'🤖 Reka Flash'!J145</f>
        <v>0</v>
      </c>
    </row>
    <row r="641" customFormat="false" ht="15.75" hidden="false" customHeight="false" outlineLevel="0" collapsed="false">
      <c r="A641" s="128"/>
      <c r="B641" s="4"/>
      <c r="C641" s="6"/>
      <c r="D641" s="168"/>
      <c r="E641" s="6"/>
      <c r="F641" s="6"/>
      <c r="G641" s="6"/>
      <c r="H641" s="6"/>
      <c r="I641" s="6"/>
    </row>
    <row r="642" customFormat="false" ht="15.75" hidden="false" customHeight="false" outlineLevel="0" collapsed="false">
      <c r="A642" s="128" t="n">
        <f aca="false">'🤖 Reka Flash'!$A$147</f>
        <v>0</v>
      </c>
      <c r="B642" s="4" t="s">
        <v>23</v>
      </c>
      <c r="C642" s="129" t="str">
        <f aca="false">'🤖 Reka Flash'!C147</f>
        <v>Base</v>
      </c>
      <c r="D642" s="168" t="n">
        <f aca="false">'🤖 Reka Flash'!E147</f>
        <v>0.001901140684</v>
      </c>
      <c r="E642" s="129" t="n">
        <f aca="false">'🤖 Reka Flash'!F147</f>
        <v>0</v>
      </c>
      <c r="F642" s="129" t="n">
        <f aca="false">'🤖 Reka Flash'!G147</f>
        <v>0</v>
      </c>
      <c r="G642" s="129" t="n">
        <f aca="false">'🤖 Reka Flash'!H147</f>
        <v>0</v>
      </c>
      <c r="H642" s="129" t="n">
        <f aca="false">'🤖 Reka Flash'!I147</f>
        <v>0</v>
      </c>
      <c r="I642" s="129" t="n">
        <f aca="false">'🤖 Reka Flash'!J147</f>
        <v>0</v>
      </c>
    </row>
    <row r="643" customFormat="false" ht="15.75" hidden="false" customHeight="false" outlineLevel="0" collapsed="false">
      <c r="A643" s="128" t="n">
        <f aca="false">'🤖 Reka Flash'!$A$147</f>
        <v>0</v>
      </c>
      <c r="B643" s="4" t="s">
        <v>23</v>
      </c>
      <c r="C643" s="129" t="str">
        <f aca="false">'🤖 Reka Flash'!C148</f>
        <v>CoT</v>
      </c>
      <c r="D643" s="168" t="n">
        <f aca="false">'🤖 Reka Flash'!E148</f>
        <v>0.001901140684</v>
      </c>
      <c r="E643" s="129" t="n">
        <f aca="false">'🤖 Reka Flash'!F148</f>
        <v>0</v>
      </c>
      <c r="F643" s="129" t="n">
        <f aca="false">'🤖 Reka Flash'!G148</f>
        <v>0</v>
      </c>
      <c r="G643" s="129" t="n">
        <f aca="false">'🤖 Reka Flash'!H148</f>
        <v>0</v>
      </c>
      <c r="H643" s="129" t="n">
        <f aca="false">'🤖 Reka Flash'!I148</f>
        <v>0</v>
      </c>
      <c r="I643" s="129" t="n">
        <f aca="false">'🤖 Reka Flash'!J148</f>
        <v>0</v>
      </c>
    </row>
    <row r="644" customFormat="false" ht="15.75" hidden="false" customHeight="false" outlineLevel="0" collapsed="false">
      <c r="A644" s="128" t="n">
        <f aca="false">'🤖 Reka Flash'!$A$147</f>
        <v>0</v>
      </c>
      <c r="B644" s="4" t="s">
        <v>23</v>
      </c>
      <c r="C644" s="129" t="str">
        <f aca="false">'🤖 Reka Flash'!C149</f>
        <v>5W1H</v>
      </c>
      <c r="D644" s="168" t="n">
        <f aca="false">'🤖 Reka Flash'!E149</f>
        <v>0.001901140684</v>
      </c>
      <c r="E644" s="129" t="n">
        <f aca="false">'🤖 Reka Flash'!F149</f>
        <v>0</v>
      </c>
      <c r="F644" s="129" t="n">
        <f aca="false">'🤖 Reka Flash'!G149</f>
        <v>0</v>
      </c>
      <c r="G644" s="129" t="n">
        <f aca="false">'🤖 Reka Flash'!H149</f>
        <v>0</v>
      </c>
      <c r="H644" s="129" t="n">
        <f aca="false">'🤖 Reka Flash'!I149</f>
        <v>0</v>
      </c>
      <c r="I644" s="129" t="n">
        <f aca="false">'🤖 Reka Flash'!J149</f>
        <v>0</v>
      </c>
    </row>
    <row r="645" customFormat="false" ht="15.75" hidden="false" customHeight="false" outlineLevel="0" collapsed="false">
      <c r="A645" s="128" t="n">
        <f aca="false">'🤖 Reka Flash'!$A$147</f>
        <v>0</v>
      </c>
      <c r="B645" s="4" t="s">
        <v>23</v>
      </c>
      <c r="C645" s="129" t="str">
        <f aca="false">'🤖 Reka Flash'!C150</f>
        <v>tldr</v>
      </c>
      <c r="D645" s="168" t="n">
        <f aca="false">'🤖 Reka Flash'!E150</f>
        <v>0.001901140684</v>
      </c>
      <c r="E645" s="129" t="n">
        <f aca="false">'🤖 Reka Flash'!F150</f>
        <v>0</v>
      </c>
      <c r="F645" s="129" t="n">
        <f aca="false">'🤖 Reka Flash'!G150</f>
        <v>0</v>
      </c>
      <c r="G645" s="129" t="n">
        <f aca="false">'🤖 Reka Flash'!H150</f>
        <v>0</v>
      </c>
      <c r="H645" s="129" t="n">
        <f aca="false">'🤖 Reka Flash'!I150</f>
        <v>0</v>
      </c>
      <c r="I645" s="129" t="n">
        <f aca="false">'🤖 Reka Flash'!J150</f>
        <v>0</v>
      </c>
    </row>
    <row r="646" customFormat="false" ht="15.75" hidden="false" customHeight="false" outlineLevel="0" collapsed="false">
      <c r="A646" s="128"/>
      <c r="B646" s="4"/>
      <c r="C646" s="6"/>
      <c r="D646" s="168"/>
      <c r="E646" s="6"/>
      <c r="F646" s="6"/>
      <c r="G646" s="6"/>
      <c r="H646" s="6"/>
      <c r="I646" s="6"/>
    </row>
    <row r="647" customFormat="false" ht="15.75" hidden="false" customHeight="false" outlineLevel="0" collapsed="false">
      <c r="A647" s="128" t="n">
        <f aca="false">'🤖 Reka Flash'!$A$152</f>
        <v>0</v>
      </c>
      <c r="B647" s="4" t="s">
        <v>23</v>
      </c>
      <c r="C647" s="129" t="str">
        <f aca="false">'🤖 Reka Flash'!C152</f>
        <v>Base</v>
      </c>
      <c r="D647" s="168" t="n">
        <f aca="false">'🤖 Reka Flash'!E152</f>
        <v>0.001901140684</v>
      </c>
      <c r="E647" s="129" t="n">
        <f aca="false">'🤖 Reka Flash'!F152</f>
        <v>0</v>
      </c>
      <c r="F647" s="129" t="n">
        <f aca="false">'🤖 Reka Flash'!G152</f>
        <v>0</v>
      </c>
      <c r="G647" s="129" t="n">
        <f aca="false">'🤖 Reka Flash'!H152</f>
        <v>0</v>
      </c>
      <c r="H647" s="129" t="n">
        <f aca="false">'🤖 Reka Flash'!I152</f>
        <v>0</v>
      </c>
      <c r="I647" s="129" t="n">
        <f aca="false">'🤖 Reka Flash'!J152</f>
        <v>0</v>
      </c>
    </row>
    <row r="648" customFormat="false" ht="15.75" hidden="false" customHeight="false" outlineLevel="0" collapsed="false">
      <c r="A648" s="128" t="n">
        <f aca="false">'🤖 Reka Flash'!$A$152</f>
        <v>0</v>
      </c>
      <c r="B648" s="4" t="s">
        <v>23</v>
      </c>
      <c r="C648" s="129" t="str">
        <f aca="false">'🤖 Reka Flash'!C153</f>
        <v>CoT</v>
      </c>
      <c r="D648" s="168" t="n">
        <f aca="false">'🤖 Reka Flash'!E153</f>
        <v>0.001901140684</v>
      </c>
      <c r="E648" s="129" t="n">
        <f aca="false">'🤖 Reka Flash'!F153</f>
        <v>0</v>
      </c>
      <c r="F648" s="129" t="n">
        <f aca="false">'🤖 Reka Flash'!G153</f>
        <v>0</v>
      </c>
      <c r="G648" s="129" t="n">
        <f aca="false">'🤖 Reka Flash'!H153</f>
        <v>0</v>
      </c>
      <c r="H648" s="129" t="n">
        <f aca="false">'🤖 Reka Flash'!I153</f>
        <v>0</v>
      </c>
      <c r="I648" s="129" t="n">
        <f aca="false">'🤖 Reka Flash'!J153</f>
        <v>0</v>
      </c>
    </row>
    <row r="649" customFormat="false" ht="15.75" hidden="false" customHeight="false" outlineLevel="0" collapsed="false">
      <c r="A649" s="128" t="n">
        <f aca="false">'🤖 Reka Flash'!$A$152</f>
        <v>0</v>
      </c>
      <c r="B649" s="4" t="s">
        <v>23</v>
      </c>
      <c r="C649" s="129" t="str">
        <f aca="false">'🤖 Reka Flash'!C154</f>
        <v>5W1H</v>
      </c>
      <c r="D649" s="168" t="n">
        <f aca="false">'🤖 Reka Flash'!E154</f>
        <v>0.001901140684</v>
      </c>
      <c r="E649" s="129" t="n">
        <f aca="false">'🤖 Reka Flash'!F154</f>
        <v>0</v>
      </c>
      <c r="F649" s="129" t="n">
        <f aca="false">'🤖 Reka Flash'!G154</f>
        <v>0</v>
      </c>
      <c r="G649" s="129" t="n">
        <f aca="false">'🤖 Reka Flash'!H154</f>
        <v>0</v>
      </c>
      <c r="H649" s="129" t="n">
        <f aca="false">'🤖 Reka Flash'!I154</f>
        <v>0</v>
      </c>
      <c r="I649" s="129" t="n">
        <f aca="false">'🤖 Reka Flash'!J154</f>
        <v>0</v>
      </c>
    </row>
    <row r="650" customFormat="false" ht="15.75" hidden="false" customHeight="false" outlineLevel="0" collapsed="false">
      <c r="A650" s="128" t="n">
        <f aca="false">'🤖 Reka Flash'!$A$152</f>
        <v>0</v>
      </c>
      <c r="B650" s="4" t="s">
        <v>23</v>
      </c>
      <c r="C650" s="129" t="str">
        <f aca="false">'🤖 Reka Flash'!C155</f>
        <v>tldr</v>
      </c>
      <c r="D650" s="168" t="n">
        <f aca="false">'🤖 Reka Flash'!E155</f>
        <v>0.001901140684</v>
      </c>
      <c r="E650" s="129" t="n">
        <f aca="false">'🤖 Reka Flash'!F155</f>
        <v>0</v>
      </c>
      <c r="F650" s="129" t="n">
        <f aca="false">'🤖 Reka Flash'!G155</f>
        <v>0</v>
      </c>
      <c r="G650" s="129" t="n">
        <f aca="false">'🤖 Reka Flash'!H155</f>
        <v>0</v>
      </c>
      <c r="H650" s="129" t="n">
        <f aca="false">'🤖 Reka Flash'!I155</f>
        <v>0</v>
      </c>
      <c r="I650" s="129" t="n">
        <f aca="false">'🤖 Reka Flash'!J155</f>
        <v>0</v>
      </c>
    </row>
    <row r="651" customFormat="false" ht="15.75" hidden="false" customHeight="false" outlineLevel="0" collapsed="false">
      <c r="A651" s="128"/>
      <c r="B651" s="4"/>
      <c r="C651" s="6"/>
      <c r="D651" s="168"/>
      <c r="E651" s="6"/>
      <c r="F651" s="6"/>
      <c r="G651" s="6"/>
      <c r="H651" s="6"/>
      <c r="I651" s="6"/>
    </row>
    <row r="652" customFormat="false" ht="15.75" hidden="false" customHeight="false" outlineLevel="0" collapsed="false">
      <c r="A652" s="128" t="n">
        <f aca="false">'🤖 Reka Flash'!$A$157</f>
        <v>0</v>
      </c>
      <c r="B652" s="4" t="s">
        <v>23</v>
      </c>
      <c r="C652" s="129" t="str">
        <f aca="false">'🤖 Reka Flash'!C157</f>
        <v>Base</v>
      </c>
      <c r="D652" s="168" t="n">
        <f aca="false">'🤖 Reka Flash'!E157</f>
        <v>0.001901140684</v>
      </c>
      <c r="E652" s="129" t="n">
        <f aca="false">'🤖 Reka Flash'!F157</f>
        <v>0</v>
      </c>
      <c r="F652" s="129" t="n">
        <f aca="false">'🤖 Reka Flash'!G157</f>
        <v>0</v>
      </c>
      <c r="G652" s="129" t="n">
        <f aca="false">'🤖 Reka Flash'!H157</f>
        <v>0</v>
      </c>
      <c r="H652" s="129" t="n">
        <f aca="false">'🤖 Reka Flash'!I157</f>
        <v>0</v>
      </c>
      <c r="I652" s="129" t="n">
        <f aca="false">'🤖 Reka Flash'!J157</f>
        <v>0</v>
      </c>
    </row>
    <row r="653" customFormat="false" ht="15.75" hidden="false" customHeight="false" outlineLevel="0" collapsed="false">
      <c r="A653" s="128" t="n">
        <f aca="false">'🤖 Reka Flash'!$A$157</f>
        <v>0</v>
      </c>
      <c r="B653" s="4" t="s">
        <v>23</v>
      </c>
      <c r="C653" s="129" t="str">
        <f aca="false">'🤖 Reka Flash'!C158</f>
        <v>CoT</v>
      </c>
      <c r="D653" s="168" t="n">
        <f aca="false">'🤖 Reka Flash'!E158</f>
        <v>0.001901140684</v>
      </c>
      <c r="E653" s="129" t="n">
        <f aca="false">'🤖 Reka Flash'!F158</f>
        <v>0</v>
      </c>
      <c r="F653" s="129" t="n">
        <f aca="false">'🤖 Reka Flash'!G158</f>
        <v>0</v>
      </c>
      <c r="G653" s="129" t="n">
        <f aca="false">'🤖 Reka Flash'!H158</f>
        <v>0</v>
      </c>
      <c r="H653" s="129" t="n">
        <f aca="false">'🤖 Reka Flash'!I158</f>
        <v>0</v>
      </c>
      <c r="I653" s="129" t="n">
        <f aca="false">'🤖 Reka Flash'!J158</f>
        <v>0</v>
      </c>
    </row>
    <row r="654" customFormat="false" ht="15.75" hidden="false" customHeight="false" outlineLevel="0" collapsed="false">
      <c r="A654" s="128" t="n">
        <f aca="false">'🤖 Reka Flash'!$A$157</f>
        <v>0</v>
      </c>
      <c r="B654" s="4" t="s">
        <v>23</v>
      </c>
      <c r="C654" s="129" t="str">
        <f aca="false">'🤖 Reka Flash'!C159</f>
        <v>5W1H</v>
      </c>
      <c r="D654" s="168" t="n">
        <f aca="false">'🤖 Reka Flash'!E159</f>
        <v>0.001901140684</v>
      </c>
      <c r="E654" s="129" t="n">
        <f aca="false">'🤖 Reka Flash'!F159</f>
        <v>0</v>
      </c>
      <c r="F654" s="129" t="n">
        <f aca="false">'🤖 Reka Flash'!G159</f>
        <v>0</v>
      </c>
      <c r="G654" s="129" t="n">
        <f aca="false">'🤖 Reka Flash'!H159</f>
        <v>0</v>
      </c>
      <c r="H654" s="129" t="n">
        <f aca="false">'🤖 Reka Flash'!I159</f>
        <v>0</v>
      </c>
      <c r="I654" s="129" t="n">
        <f aca="false">'🤖 Reka Flash'!J159</f>
        <v>0</v>
      </c>
    </row>
    <row r="655" customFormat="false" ht="15.75" hidden="false" customHeight="false" outlineLevel="0" collapsed="false">
      <c r="A655" s="128" t="n">
        <f aca="false">'🤖 Reka Flash'!$A$157</f>
        <v>0</v>
      </c>
      <c r="B655" s="4" t="s">
        <v>23</v>
      </c>
      <c r="C655" s="129" t="str">
        <f aca="false">'🤖 Reka Flash'!C160</f>
        <v>tldr</v>
      </c>
      <c r="D655" s="168" t="n">
        <f aca="false">'🤖 Reka Flash'!E160</f>
        <v>0.001901140684</v>
      </c>
      <c r="E655" s="129" t="n">
        <f aca="false">'🤖 Reka Flash'!F160</f>
        <v>0</v>
      </c>
      <c r="F655" s="129" t="n">
        <f aca="false">'🤖 Reka Flash'!G160</f>
        <v>0</v>
      </c>
      <c r="G655" s="129" t="n">
        <f aca="false">'🤖 Reka Flash'!H160</f>
        <v>0</v>
      </c>
      <c r="H655" s="129" t="n">
        <f aca="false">'🤖 Reka Flash'!I160</f>
        <v>0</v>
      </c>
      <c r="I655" s="129" t="n">
        <f aca="false">'🤖 Reka Flash'!J160</f>
        <v>0</v>
      </c>
    </row>
    <row r="656" customFormat="false" ht="15.75" hidden="false" customHeight="false" outlineLevel="0" collapsed="false">
      <c r="A656" s="128"/>
      <c r="B656" s="4"/>
      <c r="C656" s="6"/>
      <c r="D656" s="168"/>
      <c r="E656" s="6"/>
      <c r="F656" s="6"/>
      <c r="G656" s="6"/>
      <c r="H656" s="6"/>
      <c r="I656" s="6"/>
    </row>
    <row r="657" customFormat="false" ht="15.75" hidden="false" customHeight="false" outlineLevel="0" collapsed="false">
      <c r="A657" s="128" t="n">
        <f aca="false">'🤖 Reka Flash'!$A$162</f>
        <v>0</v>
      </c>
      <c r="B657" s="4" t="s">
        <v>23</v>
      </c>
      <c r="C657" s="129" t="str">
        <f aca="false">'🤖 Reka Flash'!C162</f>
        <v>Base</v>
      </c>
      <c r="D657" s="168" t="n">
        <f aca="false">'🤖 Reka Flash'!E162</f>
        <v>0.001901140684</v>
      </c>
      <c r="E657" s="129" t="n">
        <f aca="false">'🤖 Reka Flash'!F162</f>
        <v>0</v>
      </c>
      <c r="F657" s="129" t="n">
        <f aca="false">'🤖 Reka Flash'!G162</f>
        <v>0</v>
      </c>
      <c r="G657" s="129" t="n">
        <f aca="false">'🤖 Reka Flash'!H162</f>
        <v>0</v>
      </c>
      <c r="H657" s="129" t="n">
        <f aca="false">'🤖 Reka Flash'!I162</f>
        <v>0</v>
      </c>
      <c r="I657" s="129" t="n">
        <f aca="false">'🤖 Reka Flash'!J162</f>
        <v>0</v>
      </c>
    </row>
    <row r="658" customFormat="false" ht="15.75" hidden="false" customHeight="false" outlineLevel="0" collapsed="false">
      <c r="A658" s="128" t="n">
        <f aca="false">'🤖 Reka Flash'!$A$162</f>
        <v>0</v>
      </c>
      <c r="B658" s="4" t="s">
        <v>23</v>
      </c>
      <c r="C658" s="129" t="str">
        <f aca="false">'🤖 Reka Flash'!C163</f>
        <v>CoT</v>
      </c>
      <c r="D658" s="168" t="n">
        <f aca="false">'🤖 Reka Flash'!E163</f>
        <v>0.001901140684</v>
      </c>
      <c r="E658" s="129" t="n">
        <f aca="false">'🤖 Reka Flash'!F163</f>
        <v>0</v>
      </c>
      <c r="F658" s="129" t="n">
        <f aca="false">'🤖 Reka Flash'!G163</f>
        <v>0</v>
      </c>
      <c r="G658" s="129" t="n">
        <f aca="false">'🤖 Reka Flash'!H163</f>
        <v>0</v>
      </c>
      <c r="H658" s="129" t="n">
        <f aca="false">'🤖 Reka Flash'!I163</f>
        <v>0</v>
      </c>
      <c r="I658" s="129" t="n">
        <f aca="false">'🤖 Reka Flash'!J163</f>
        <v>0</v>
      </c>
    </row>
    <row r="659" customFormat="false" ht="15.75" hidden="false" customHeight="false" outlineLevel="0" collapsed="false">
      <c r="A659" s="128" t="n">
        <f aca="false">'🤖 Reka Flash'!$A$162</f>
        <v>0</v>
      </c>
      <c r="B659" s="4" t="s">
        <v>23</v>
      </c>
      <c r="C659" s="129" t="str">
        <f aca="false">'🤖 Reka Flash'!C164</f>
        <v>5W1H</v>
      </c>
      <c r="D659" s="168" t="n">
        <f aca="false">'🤖 Reka Flash'!E164</f>
        <v>0.001901140684</v>
      </c>
      <c r="E659" s="129" t="n">
        <f aca="false">'🤖 Reka Flash'!F164</f>
        <v>0</v>
      </c>
      <c r="F659" s="129" t="n">
        <f aca="false">'🤖 Reka Flash'!G164</f>
        <v>0</v>
      </c>
      <c r="G659" s="129" t="n">
        <f aca="false">'🤖 Reka Flash'!H164</f>
        <v>0</v>
      </c>
      <c r="H659" s="129" t="n">
        <f aca="false">'🤖 Reka Flash'!I164</f>
        <v>0</v>
      </c>
      <c r="I659" s="129" t="n">
        <f aca="false">'🤖 Reka Flash'!J164</f>
        <v>0</v>
      </c>
    </row>
    <row r="660" customFormat="false" ht="15.75" hidden="false" customHeight="false" outlineLevel="0" collapsed="false">
      <c r="A660" s="128" t="n">
        <f aca="false">'🤖 Reka Flash'!$A$162</f>
        <v>0</v>
      </c>
      <c r="B660" s="4" t="s">
        <v>23</v>
      </c>
      <c r="C660" s="129" t="str">
        <f aca="false">'🤖 Reka Flash'!C165</f>
        <v>tldr</v>
      </c>
      <c r="D660" s="168" t="n">
        <f aca="false">'🤖 Reka Flash'!E165</f>
        <v>0.001901140684</v>
      </c>
      <c r="E660" s="129" t="n">
        <f aca="false">'🤖 Reka Flash'!F165</f>
        <v>0</v>
      </c>
      <c r="F660" s="129" t="n">
        <f aca="false">'🤖 Reka Flash'!G165</f>
        <v>0</v>
      </c>
      <c r="G660" s="129" t="n">
        <f aca="false">'🤖 Reka Flash'!H165</f>
        <v>0</v>
      </c>
      <c r="H660" s="129" t="n">
        <f aca="false">'🤖 Reka Flash'!I165</f>
        <v>0</v>
      </c>
      <c r="I660" s="129" t="n">
        <f aca="false">'🤖 Reka Flash'!J165</f>
        <v>0</v>
      </c>
    </row>
    <row r="661" customFormat="false" ht="15.75" hidden="false" customHeight="false" outlineLevel="0" collapsed="false">
      <c r="A661" s="9"/>
      <c r="B661" s="9"/>
      <c r="C661" s="9"/>
      <c r="D661" s="9"/>
      <c r="E661" s="9"/>
      <c r="F661" s="9"/>
      <c r="G661" s="9"/>
      <c r="H661" s="9"/>
      <c r="I661" s="9"/>
    </row>
    <row r="662" customFormat="false" ht="15.75" hidden="false" customHeight="false" outlineLevel="0" collapsed="false">
      <c r="A662" s="128" t="str">
        <f aca="false">'🖐🏾 Human'!$A$2</f>
        <v>https://www.berria.eus/kirola/hau-badakit-egunen-batean-aterako-da-barruan-dudan-jokoa_2123931_102.html</v>
      </c>
      <c r="B662" s="4" t="s">
        <v>15</v>
      </c>
      <c r="C662" s="129" t="str">
        <f aca="false">'🖐🏾 Human'!C2</f>
        <v>Heading</v>
      </c>
      <c r="D662" s="163" t="n">
        <f aca="false">'🖐🏾 Human'!E2</f>
        <v>0.05441354293</v>
      </c>
      <c r="E662" s="129" t="n">
        <f aca="false">'🖐🏾 Human'!F2</f>
        <v>4</v>
      </c>
      <c r="F662" s="129" t="n">
        <f aca="false">'🖐🏾 Human'!G2</f>
        <v>5</v>
      </c>
      <c r="G662" s="129" t="n">
        <f aca="false">'🖐🏾 Human'!H2</f>
        <v>5</v>
      </c>
      <c r="H662" s="129" t="n">
        <f aca="false">'🖐🏾 Human'!I2</f>
        <v>4</v>
      </c>
      <c r="I662" s="129" t="n">
        <f aca="false">'🖐🏾 Human'!J2</f>
        <v>3</v>
      </c>
    </row>
    <row r="663" customFormat="false" ht="15.75" hidden="false" customHeight="false" outlineLevel="0" collapsed="false">
      <c r="A663" s="128" t="str">
        <f aca="false">'🖐🏾 Human'!$A$2</f>
        <v>https://www.berria.eus/kirola/hau-badakit-egunen-batean-aterako-da-barruan-dudan-jokoa_2123931_102.html</v>
      </c>
      <c r="B663" s="4" t="s">
        <v>15</v>
      </c>
      <c r="C663" s="129" t="str">
        <f aca="false">'🖐🏾 Human'!C3</f>
        <v>Jeremy</v>
      </c>
      <c r="D663" s="163" t="n">
        <f aca="false">'🖐🏾 Human'!E3</f>
        <v>0.100362757</v>
      </c>
      <c r="E663" s="129" t="n">
        <f aca="false">'🖐🏾 Human'!F3</f>
        <v>0</v>
      </c>
      <c r="F663" s="129" t="n">
        <f aca="false">'🖐🏾 Human'!G3</f>
        <v>0</v>
      </c>
      <c r="G663" s="129" t="n">
        <f aca="false">'🖐🏾 Human'!H3</f>
        <v>0</v>
      </c>
      <c r="H663" s="129" t="n">
        <f aca="false">'🖐🏾 Human'!I3</f>
        <v>0</v>
      </c>
      <c r="I663" s="129" t="n">
        <f aca="false">'🖐🏾 Human'!J3</f>
        <v>0</v>
      </c>
    </row>
    <row r="664" customFormat="false" ht="15.75" hidden="false" customHeight="false" outlineLevel="0" collapsed="false">
      <c r="A664" s="128" t="str">
        <f aca="false">'🖐🏾 Human'!$A$2</f>
        <v>https://www.berria.eus/kirola/hau-badakit-egunen-batean-aterako-da-barruan-dudan-jokoa_2123931_102.html</v>
      </c>
      <c r="B664" s="4" t="s">
        <v>15</v>
      </c>
      <c r="C664" s="129" t="n">
        <f aca="false">'🖐🏾 Human'!C4</f>
        <v>0</v>
      </c>
      <c r="D664" s="163" t="n">
        <f aca="false">'🖐🏾 Human'!E4</f>
        <v>0.001209189843</v>
      </c>
      <c r="E664" s="129" t="n">
        <f aca="false">'🖐🏾 Human'!F4</f>
        <v>0</v>
      </c>
      <c r="F664" s="129" t="n">
        <f aca="false">'🖐🏾 Human'!G4</f>
        <v>0</v>
      </c>
      <c r="G664" s="129" t="n">
        <f aca="false">'🖐🏾 Human'!H4</f>
        <v>0</v>
      </c>
      <c r="H664" s="129" t="n">
        <f aca="false">'🖐🏾 Human'!I4</f>
        <v>0</v>
      </c>
      <c r="I664" s="129" t="n">
        <f aca="false">'🖐🏾 Human'!J4</f>
        <v>0</v>
      </c>
    </row>
    <row r="665" customFormat="false" ht="15.75" hidden="false" customHeight="false" outlineLevel="0" collapsed="false">
      <c r="A665" s="128" t="str">
        <f aca="false">'🖐🏾 Human'!$A$2</f>
        <v>https://www.berria.eus/kirola/hau-badakit-egunen-batean-aterako-da-barruan-dudan-jokoa_2123931_102.html</v>
      </c>
      <c r="B665" s="4" t="s">
        <v>15</v>
      </c>
      <c r="C665" s="129" t="n">
        <f aca="false">'🖐🏾 Human'!C5</f>
        <v>0</v>
      </c>
      <c r="D665" s="163" t="n">
        <f aca="false">'🖐🏾 Human'!E5</f>
        <v>0.001209189843</v>
      </c>
      <c r="E665" s="129" t="n">
        <f aca="false">'🖐🏾 Human'!F5</f>
        <v>0</v>
      </c>
      <c r="F665" s="129" t="n">
        <f aca="false">'🖐🏾 Human'!G5</f>
        <v>0</v>
      </c>
      <c r="G665" s="129" t="n">
        <f aca="false">'🖐🏾 Human'!H5</f>
        <v>0</v>
      </c>
      <c r="H665" s="129" t="n">
        <f aca="false">'🖐🏾 Human'!I5</f>
        <v>0</v>
      </c>
      <c r="I665" s="129" t="n">
        <f aca="false">'🖐🏾 Human'!J5</f>
        <v>0</v>
      </c>
    </row>
    <row r="666" customFormat="false" ht="15.75" hidden="false" customHeight="false" outlineLevel="0" collapsed="false">
      <c r="A666" s="9"/>
      <c r="B666" s="4"/>
      <c r="C666" s="6"/>
      <c r="D666" s="163"/>
      <c r="E666" s="6"/>
      <c r="F666" s="6"/>
      <c r="G666" s="6"/>
      <c r="H666" s="6"/>
      <c r="I666" s="6"/>
    </row>
    <row r="667" customFormat="false" ht="15.75" hidden="false" customHeight="false" outlineLevel="0" collapsed="false">
      <c r="A667" s="128" t="str">
        <f aca="false">'🖐🏾 Human'!$A$7</f>
        <v>https://www.berria.eus/ekonomia/kutxabankek-2116-euro-bideratu-zituen-karbono-gutxiko-proiektuak-finantzatzera_2120192_102.html</v>
      </c>
      <c r="B667" s="4" t="s">
        <v>15</v>
      </c>
      <c r="C667" s="129" t="str">
        <f aca="false">'🖐🏾 Human'!C7</f>
        <v>Heading</v>
      </c>
      <c r="D667" s="163" t="n">
        <f aca="false">'🖐🏾 Human'!E7</f>
        <v>0.1732283465</v>
      </c>
      <c r="E667" s="129" t="n">
        <f aca="false">'🖐🏾 Human'!F7</f>
        <v>3</v>
      </c>
      <c r="F667" s="129" t="n">
        <f aca="false">'🖐🏾 Human'!G7</f>
        <v>5</v>
      </c>
      <c r="G667" s="129" t="n">
        <f aca="false">'🖐🏾 Human'!H7</f>
        <v>5</v>
      </c>
      <c r="H667" s="129" t="n">
        <f aca="false">'🖐🏾 Human'!I7</f>
        <v>3</v>
      </c>
      <c r="I667" s="129" t="n">
        <f aca="false">'🖐🏾 Human'!J7</f>
        <v>4</v>
      </c>
    </row>
    <row r="668" customFormat="false" ht="15.75" hidden="false" customHeight="false" outlineLevel="0" collapsed="false">
      <c r="A668" s="128" t="str">
        <f aca="false">'🖐🏾 Human'!$A$7</f>
        <v>https://www.berria.eus/ekonomia/kutxabankek-2116-euro-bideratu-zituen-karbono-gutxiko-proiektuak-finantzatzera_2120192_102.html</v>
      </c>
      <c r="B668" s="4" t="s">
        <v>15</v>
      </c>
      <c r="C668" s="129" t="str">
        <f aca="false">'🖐🏾 Human'!C8</f>
        <v>Jeremy</v>
      </c>
      <c r="D668" s="163" t="n">
        <f aca="false">'🖐🏾 Human'!E8</f>
        <v>0.188976378</v>
      </c>
      <c r="E668" s="129" t="n">
        <f aca="false">'🖐🏾 Human'!F8</f>
        <v>0</v>
      </c>
      <c r="F668" s="129" t="n">
        <f aca="false">'🖐🏾 Human'!G8</f>
        <v>0</v>
      </c>
      <c r="G668" s="129" t="n">
        <f aca="false">'🖐🏾 Human'!H8</f>
        <v>0</v>
      </c>
      <c r="H668" s="129" t="n">
        <f aca="false">'🖐🏾 Human'!I8</f>
        <v>0</v>
      </c>
      <c r="I668" s="129" t="n">
        <f aca="false">'🖐🏾 Human'!J8</f>
        <v>0</v>
      </c>
    </row>
    <row r="669" customFormat="false" ht="15.75" hidden="false" customHeight="false" outlineLevel="0" collapsed="false">
      <c r="A669" s="128" t="str">
        <f aca="false">'🖐🏾 Human'!$A$7</f>
        <v>https://www.berria.eus/ekonomia/kutxabankek-2116-euro-bideratu-zituen-karbono-gutxiko-proiektuak-finantzatzera_2120192_102.html</v>
      </c>
      <c r="B669" s="4" t="s">
        <v>15</v>
      </c>
      <c r="C669" s="129" t="n">
        <f aca="false">'🖐🏾 Human'!C9</f>
        <v>0</v>
      </c>
      <c r="D669" s="163" t="n">
        <f aca="false">'🖐🏾 Human'!E9</f>
        <v>0.007874015748</v>
      </c>
      <c r="E669" s="129" t="n">
        <f aca="false">'🖐🏾 Human'!F9</f>
        <v>0</v>
      </c>
      <c r="F669" s="129" t="n">
        <f aca="false">'🖐🏾 Human'!G9</f>
        <v>0</v>
      </c>
      <c r="G669" s="129" t="n">
        <f aca="false">'🖐🏾 Human'!H9</f>
        <v>0</v>
      </c>
      <c r="H669" s="129" t="n">
        <f aca="false">'🖐🏾 Human'!I9</f>
        <v>0</v>
      </c>
      <c r="I669" s="129" t="n">
        <f aca="false">'🖐🏾 Human'!J9</f>
        <v>0</v>
      </c>
    </row>
    <row r="670" customFormat="false" ht="15.75" hidden="false" customHeight="false" outlineLevel="0" collapsed="false">
      <c r="A670" s="128" t="str">
        <f aca="false">'🖐🏾 Human'!$A$7</f>
        <v>https://www.berria.eus/ekonomia/kutxabankek-2116-euro-bideratu-zituen-karbono-gutxiko-proiektuak-finantzatzera_2120192_102.html</v>
      </c>
      <c r="B670" s="4" t="s">
        <v>15</v>
      </c>
      <c r="C670" s="129" t="n">
        <f aca="false">'🖐🏾 Human'!C10</f>
        <v>0</v>
      </c>
      <c r="D670" s="163" t="n">
        <f aca="false">'🖐🏾 Human'!E10</f>
        <v>0.007874015748</v>
      </c>
      <c r="E670" s="129" t="n">
        <f aca="false">'🖐🏾 Human'!F10</f>
        <v>0</v>
      </c>
      <c r="F670" s="129" t="n">
        <f aca="false">'🖐🏾 Human'!G10</f>
        <v>0</v>
      </c>
      <c r="G670" s="129" t="n">
        <f aca="false">'🖐🏾 Human'!H10</f>
        <v>0</v>
      </c>
      <c r="H670" s="129" t="n">
        <f aca="false">'🖐🏾 Human'!I10</f>
        <v>0</v>
      </c>
      <c r="I670" s="129" t="n">
        <f aca="false">'🖐🏾 Human'!J10</f>
        <v>0</v>
      </c>
    </row>
    <row r="671" customFormat="false" ht="15.75" hidden="false" customHeight="false" outlineLevel="0" collapsed="false">
      <c r="A671" s="9"/>
      <c r="B671" s="4"/>
      <c r="C671" s="6"/>
      <c r="D671" s="163"/>
      <c r="E671" s="6"/>
      <c r="F671" s="6"/>
      <c r="G671" s="6"/>
      <c r="H671" s="6"/>
      <c r="I671" s="6"/>
    </row>
    <row r="672" customFormat="false" ht="15.75" hidden="false" customHeight="false" outlineLevel="0" collapsed="false">
      <c r="A672" s="128" t="str">
        <f aca="false">'🖐🏾 Human'!$A$12</f>
        <v>https://www.berria.eus/bizigiro/tradizioa-eta-abangoardia_2126379_102.html</v>
      </c>
      <c r="B672" s="4" t="s">
        <v>15</v>
      </c>
      <c r="C672" s="129" t="str">
        <f aca="false">'🖐🏾 Human'!C12</f>
        <v>Heading</v>
      </c>
      <c r="D672" s="163" t="n">
        <f aca="false">'🖐🏾 Human'!E12</f>
        <v>0.05789473684</v>
      </c>
      <c r="E672" s="129" t="n">
        <f aca="false">'🖐🏾 Human'!F12</f>
        <v>3</v>
      </c>
      <c r="F672" s="129" t="n">
        <f aca="false">'🖐🏾 Human'!G12</f>
        <v>5</v>
      </c>
      <c r="G672" s="129" t="n">
        <f aca="false">'🖐🏾 Human'!H12</f>
        <v>5</v>
      </c>
      <c r="H672" s="129" t="n">
        <f aca="false">'🖐🏾 Human'!I12</f>
        <v>4</v>
      </c>
      <c r="I672" s="129" t="n">
        <f aca="false">'🖐🏾 Human'!J12</f>
        <v>3</v>
      </c>
    </row>
    <row r="673" customFormat="false" ht="15.75" hidden="false" customHeight="false" outlineLevel="0" collapsed="false">
      <c r="A673" s="128" t="str">
        <f aca="false">'🖐🏾 Human'!$A$12</f>
        <v>https://www.berria.eus/bizigiro/tradizioa-eta-abangoardia_2126379_102.html</v>
      </c>
      <c r="B673" s="4" t="s">
        <v>15</v>
      </c>
      <c r="C673" s="129" t="str">
        <f aca="false">'🖐🏾 Human'!C13</f>
        <v>Jeremy</v>
      </c>
      <c r="D673" s="163" t="n">
        <f aca="false">'🖐🏾 Human'!E13</f>
        <v>0.1394736842</v>
      </c>
      <c r="E673" s="129" t="n">
        <f aca="false">'🖐🏾 Human'!F13</f>
        <v>0</v>
      </c>
      <c r="F673" s="129" t="n">
        <f aca="false">'🖐🏾 Human'!G13</f>
        <v>0</v>
      </c>
      <c r="G673" s="129" t="n">
        <f aca="false">'🖐🏾 Human'!H13</f>
        <v>0</v>
      </c>
      <c r="H673" s="129" t="n">
        <f aca="false">'🖐🏾 Human'!I13</f>
        <v>0</v>
      </c>
      <c r="I673" s="129" t="n">
        <f aca="false">'🖐🏾 Human'!J13</f>
        <v>0</v>
      </c>
    </row>
    <row r="674" customFormat="false" ht="15.75" hidden="false" customHeight="false" outlineLevel="0" collapsed="false">
      <c r="A674" s="128" t="str">
        <f aca="false">'🖐🏾 Human'!$A$12</f>
        <v>https://www.berria.eus/bizigiro/tradizioa-eta-abangoardia_2126379_102.html</v>
      </c>
      <c r="B674" s="4" t="s">
        <v>15</v>
      </c>
      <c r="C674" s="129" t="n">
        <f aca="false">'🖐🏾 Human'!C14</f>
        <v>0</v>
      </c>
      <c r="D674" s="163" t="n">
        <f aca="false">'🖐🏾 Human'!E14</f>
        <v>0.002631578947</v>
      </c>
      <c r="E674" s="129" t="n">
        <f aca="false">'🖐🏾 Human'!F14</f>
        <v>0</v>
      </c>
      <c r="F674" s="129" t="n">
        <f aca="false">'🖐🏾 Human'!G14</f>
        <v>0</v>
      </c>
      <c r="G674" s="129" t="n">
        <f aca="false">'🖐🏾 Human'!H14</f>
        <v>0</v>
      </c>
      <c r="H674" s="129" t="n">
        <f aca="false">'🖐🏾 Human'!I14</f>
        <v>0</v>
      </c>
      <c r="I674" s="129" t="n">
        <f aca="false">'🖐🏾 Human'!J14</f>
        <v>0</v>
      </c>
    </row>
    <row r="675" customFormat="false" ht="15.75" hidden="false" customHeight="false" outlineLevel="0" collapsed="false">
      <c r="A675" s="128" t="str">
        <f aca="false">'🖐🏾 Human'!$A$12</f>
        <v>https://www.berria.eus/bizigiro/tradizioa-eta-abangoardia_2126379_102.html</v>
      </c>
      <c r="B675" s="4" t="s">
        <v>15</v>
      </c>
      <c r="C675" s="129" t="n">
        <f aca="false">'🖐🏾 Human'!C15</f>
        <v>0</v>
      </c>
      <c r="D675" s="163" t="n">
        <f aca="false">'🖐🏾 Human'!E15</f>
        <v>0.002631578947</v>
      </c>
      <c r="E675" s="129" t="n">
        <f aca="false">'🖐🏾 Human'!F15</f>
        <v>0</v>
      </c>
      <c r="F675" s="129" t="n">
        <f aca="false">'🖐🏾 Human'!G15</f>
        <v>0</v>
      </c>
      <c r="G675" s="129" t="n">
        <f aca="false">'🖐🏾 Human'!H15</f>
        <v>0</v>
      </c>
      <c r="H675" s="129" t="n">
        <f aca="false">'🖐🏾 Human'!I15</f>
        <v>0</v>
      </c>
      <c r="I675" s="129" t="n">
        <f aca="false">'🖐🏾 Human'!J15</f>
        <v>0</v>
      </c>
    </row>
    <row r="676" customFormat="false" ht="15.75" hidden="false" customHeight="false" outlineLevel="0" collapsed="false">
      <c r="A676" s="9"/>
      <c r="B676" s="4"/>
      <c r="C676" s="6"/>
      <c r="D676" s="163"/>
      <c r="E676" s="6"/>
      <c r="F676" s="6"/>
      <c r="G676" s="6"/>
      <c r="H676" s="6"/>
      <c r="I676" s="6"/>
    </row>
    <row r="677" customFormat="false" ht="15.75" hidden="false" customHeight="false" outlineLevel="0" collapsed="false">
      <c r="A677" s="128" t="str">
        <f aca="false">'🖐🏾 Human'!$A$17</f>
        <v>https://www.berria.eus/mundua/nbek-43-mila-milioi-euro-eskatu-ditu-datorren-urtean-laguntza-humanitarioa-bermatzeko_2117704_102.html</v>
      </c>
      <c r="B677" s="4" t="s">
        <v>15</v>
      </c>
      <c r="C677" s="129" t="str">
        <f aca="false">'🖐🏾 Human'!C17</f>
        <v>Heading</v>
      </c>
      <c r="D677" s="163" t="n">
        <f aca="false">'🖐🏾 Human'!E17</f>
        <v>0.05944055944</v>
      </c>
      <c r="E677" s="129" t="n">
        <f aca="false">'🖐🏾 Human'!F17</f>
        <v>4</v>
      </c>
      <c r="F677" s="129" t="n">
        <f aca="false">'🖐🏾 Human'!G17</f>
        <v>5</v>
      </c>
      <c r="G677" s="129" t="n">
        <f aca="false">'🖐🏾 Human'!H17</f>
        <v>5</v>
      </c>
      <c r="H677" s="129" t="n">
        <f aca="false">'🖐🏾 Human'!I17</f>
        <v>5</v>
      </c>
      <c r="I677" s="129" t="n">
        <f aca="false">'🖐🏾 Human'!J17</f>
        <v>3</v>
      </c>
    </row>
    <row r="678" customFormat="false" ht="15.75" hidden="false" customHeight="false" outlineLevel="0" collapsed="false">
      <c r="A678" s="128" t="str">
        <f aca="false">'🖐🏾 Human'!$A$17</f>
        <v>https://www.berria.eus/mundua/nbek-43-mila-milioi-euro-eskatu-ditu-datorren-urtean-laguntza-humanitarioa-bermatzeko_2117704_102.html</v>
      </c>
      <c r="B678" s="4" t="s">
        <v>15</v>
      </c>
      <c r="C678" s="129" t="str">
        <f aca="false">'🖐🏾 Human'!C18</f>
        <v>Jeremy</v>
      </c>
      <c r="D678" s="163" t="n">
        <f aca="false">'🖐🏾 Human'!E18</f>
        <v>0.1660839161</v>
      </c>
      <c r="E678" s="129" t="n">
        <f aca="false">'🖐🏾 Human'!F18</f>
        <v>0</v>
      </c>
      <c r="F678" s="129" t="n">
        <f aca="false">'🖐🏾 Human'!G18</f>
        <v>0</v>
      </c>
      <c r="G678" s="129" t="n">
        <f aca="false">'🖐🏾 Human'!H18</f>
        <v>0</v>
      </c>
      <c r="H678" s="129" t="n">
        <f aca="false">'🖐🏾 Human'!I18</f>
        <v>0</v>
      </c>
      <c r="I678" s="129" t="n">
        <f aca="false">'🖐🏾 Human'!J18</f>
        <v>0</v>
      </c>
    </row>
    <row r="679" customFormat="false" ht="15.75" hidden="false" customHeight="false" outlineLevel="0" collapsed="false">
      <c r="A679" s="128" t="str">
        <f aca="false">'🖐🏾 Human'!$A$17</f>
        <v>https://www.berria.eus/mundua/nbek-43-mila-milioi-euro-eskatu-ditu-datorren-urtean-laguntza-humanitarioa-bermatzeko_2117704_102.html</v>
      </c>
      <c r="B679" s="4" t="s">
        <v>15</v>
      </c>
      <c r="C679" s="129" t="n">
        <f aca="false">'🖐🏾 Human'!C19</f>
        <v>0</v>
      </c>
      <c r="D679" s="163" t="n">
        <f aca="false">'🖐🏾 Human'!E19</f>
        <v>0.001748251748</v>
      </c>
      <c r="E679" s="129" t="n">
        <f aca="false">'🖐🏾 Human'!F19</f>
        <v>0</v>
      </c>
      <c r="F679" s="129" t="n">
        <f aca="false">'🖐🏾 Human'!G19</f>
        <v>0</v>
      </c>
      <c r="G679" s="129" t="n">
        <f aca="false">'🖐🏾 Human'!H19</f>
        <v>0</v>
      </c>
      <c r="H679" s="129" t="n">
        <f aca="false">'🖐🏾 Human'!I19</f>
        <v>0</v>
      </c>
      <c r="I679" s="129" t="n">
        <f aca="false">'🖐🏾 Human'!J19</f>
        <v>0</v>
      </c>
    </row>
    <row r="680" customFormat="false" ht="15.75" hidden="false" customHeight="false" outlineLevel="0" collapsed="false">
      <c r="A680" s="128" t="str">
        <f aca="false">'🖐🏾 Human'!$A$17</f>
        <v>https://www.berria.eus/mundua/nbek-43-mila-milioi-euro-eskatu-ditu-datorren-urtean-laguntza-humanitarioa-bermatzeko_2117704_102.html</v>
      </c>
      <c r="B680" s="4" t="s">
        <v>15</v>
      </c>
      <c r="C680" s="129" t="n">
        <f aca="false">'🖐🏾 Human'!C20</f>
        <v>0</v>
      </c>
      <c r="D680" s="163" t="n">
        <f aca="false">'🖐🏾 Human'!E20</f>
        <v>0.001748251748</v>
      </c>
      <c r="E680" s="129" t="n">
        <f aca="false">'🖐🏾 Human'!F20</f>
        <v>0</v>
      </c>
      <c r="F680" s="129" t="n">
        <f aca="false">'🖐🏾 Human'!G20</f>
        <v>0</v>
      </c>
      <c r="G680" s="129" t="n">
        <f aca="false">'🖐🏾 Human'!H20</f>
        <v>0</v>
      </c>
      <c r="H680" s="129" t="n">
        <f aca="false">'🖐🏾 Human'!I20</f>
        <v>0</v>
      </c>
      <c r="I680" s="129" t="n">
        <f aca="false">'🖐🏾 Human'!J20</f>
        <v>0</v>
      </c>
    </row>
    <row r="681" customFormat="false" ht="15.75" hidden="false" customHeight="false" outlineLevel="0" collapsed="false">
      <c r="A681" s="9"/>
      <c r="B681" s="4"/>
      <c r="C681" s="6"/>
      <c r="D681" s="163"/>
      <c r="E681" s="6"/>
      <c r="F681" s="6"/>
      <c r="G681" s="6"/>
      <c r="H681" s="6"/>
      <c r="I681" s="6"/>
    </row>
    <row r="682" customFormat="false" ht="15.75" hidden="false" customHeight="false" outlineLevel="0" collapsed="false">
      <c r="A682" s="128" t="str">
        <f aca="false">'🖐🏾 Human'!$A$22</f>
        <v>https://www.berria.eus/kultura/umeak-amari-eman-dio-bidea_2124508_102.html</v>
      </c>
      <c r="B682" s="4" t="s">
        <v>15</v>
      </c>
      <c r="C682" s="129" t="str">
        <f aca="false">'🖐🏾 Human'!C22</f>
        <v>Heading</v>
      </c>
      <c r="D682" s="163" t="n">
        <f aca="false">'🖐🏾 Human'!E22</f>
        <v>0.05017921147</v>
      </c>
      <c r="E682" s="129" t="n">
        <f aca="false">'🖐🏾 Human'!F22</f>
        <v>4</v>
      </c>
      <c r="F682" s="129" t="n">
        <f aca="false">'🖐🏾 Human'!G22</f>
        <v>5</v>
      </c>
      <c r="G682" s="129" t="n">
        <f aca="false">'🖐🏾 Human'!H22</f>
        <v>5</v>
      </c>
      <c r="H682" s="129" t="n">
        <f aca="false">'🖐🏾 Human'!I22</f>
        <v>4</v>
      </c>
      <c r="I682" s="129" t="n">
        <f aca="false">'🖐🏾 Human'!J22</f>
        <v>2</v>
      </c>
    </row>
    <row r="683" customFormat="false" ht="15.75" hidden="false" customHeight="false" outlineLevel="0" collapsed="false">
      <c r="A683" s="128" t="str">
        <f aca="false">'🖐🏾 Human'!$A$22</f>
        <v>https://www.berria.eus/kultura/umeak-amari-eman-dio-bidea_2124508_102.html</v>
      </c>
      <c r="B683" s="4" t="s">
        <v>15</v>
      </c>
      <c r="C683" s="129" t="str">
        <f aca="false">'🖐🏾 Human'!C23</f>
        <v>Jeremy</v>
      </c>
      <c r="D683" s="163" t="n">
        <f aca="false">'🖐🏾 Human'!E23</f>
        <v>0.1899641577</v>
      </c>
      <c r="E683" s="129" t="n">
        <f aca="false">'🖐🏾 Human'!F23</f>
        <v>0</v>
      </c>
      <c r="F683" s="129" t="n">
        <f aca="false">'🖐🏾 Human'!G23</f>
        <v>0</v>
      </c>
      <c r="G683" s="129" t="n">
        <f aca="false">'🖐🏾 Human'!H23</f>
        <v>0</v>
      </c>
      <c r="H683" s="129" t="n">
        <f aca="false">'🖐🏾 Human'!I23</f>
        <v>0</v>
      </c>
      <c r="I683" s="129" t="n">
        <f aca="false">'🖐🏾 Human'!J23</f>
        <v>0</v>
      </c>
    </row>
    <row r="684" customFormat="false" ht="15.75" hidden="false" customHeight="false" outlineLevel="0" collapsed="false">
      <c r="A684" s="128" t="str">
        <f aca="false">'🖐🏾 Human'!$A$22</f>
        <v>https://www.berria.eus/kultura/umeak-amari-eman-dio-bidea_2124508_102.html</v>
      </c>
      <c r="B684" s="4" t="s">
        <v>15</v>
      </c>
      <c r="C684" s="129" t="n">
        <f aca="false">'🖐🏾 Human'!C24</f>
        <v>0</v>
      </c>
      <c r="D684" s="163" t="n">
        <f aca="false">'🖐🏾 Human'!E24</f>
        <v>0.001792114695</v>
      </c>
      <c r="E684" s="129" t="n">
        <f aca="false">'🖐🏾 Human'!F24</f>
        <v>0</v>
      </c>
      <c r="F684" s="129" t="n">
        <f aca="false">'🖐🏾 Human'!G24</f>
        <v>0</v>
      </c>
      <c r="G684" s="129" t="n">
        <f aca="false">'🖐🏾 Human'!H24</f>
        <v>0</v>
      </c>
      <c r="H684" s="129" t="n">
        <f aca="false">'🖐🏾 Human'!I24</f>
        <v>0</v>
      </c>
      <c r="I684" s="129" t="n">
        <f aca="false">'🖐🏾 Human'!J24</f>
        <v>0</v>
      </c>
    </row>
    <row r="685" customFormat="false" ht="15.75" hidden="false" customHeight="false" outlineLevel="0" collapsed="false">
      <c r="A685" s="128" t="str">
        <f aca="false">'🖐🏾 Human'!$A$22</f>
        <v>https://www.berria.eus/kultura/umeak-amari-eman-dio-bidea_2124508_102.html</v>
      </c>
      <c r="B685" s="4" t="s">
        <v>15</v>
      </c>
      <c r="C685" s="129" t="n">
        <f aca="false">'🖐🏾 Human'!C25</f>
        <v>0</v>
      </c>
      <c r="D685" s="163" t="n">
        <f aca="false">'🖐🏾 Human'!E25</f>
        <v>0.001792114695</v>
      </c>
      <c r="E685" s="129" t="n">
        <f aca="false">'🖐🏾 Human'!F25</f>
        <v>0</v>
      </c>
      <c r="F685" s="129" t="n">
        <f aca="false">'🖐🏾 Human'!G25</f>
        <v>0</v>
      </c>
      <c r="G685" s="129" t="n">
        <f aca="false">'🖐🏾 Human'!H25</f>
        <v>0</v>
      </c>
      <c r="H685" s="129" t="n">
        <f aca="false">'🖐🏾 Human'!I25</f>
        <v>0</v>
      </c>
      <c r="I685" s="129" t="n">
        <f aca="false">'🖐🏾 Human'!J25</f>
        <v>0</v>
      </c>
    </row>
    <row r="686" customFormat="false" ht="15.75" hidden="false" customHeight="false" outlineLevel="0" collapsed="false">
      <c r="A686" s="9"/>
      <c r="B686" s="4"/>
      <c r="C686" s="6"/>
      <c r="D686" s="163"/>
      <c r="E686" s="6"/>
      <c r="F686" s="6"/>
      <c r="G686" s="6"/>
      <c r="H686" s="6"/>
      <c r="I686" s="6"/>
    </row>
    <row r="687" customFormat="false" ht="15.75" hidden="false" customHeight="false" outlineLevel="0" collapsed="false">
      <c r="A687" s="128" t="str">
        <f aca="false">'🖐🏾 Human'!$A$27</f>
        <v>https://www.berria.eus/euskal-herria/pintaketa-faxistak-egin-dituzte-irunean_2124262_102.html</v>
      </c>
      <c r="B687" s="4" t="s">
        <v>15</v>
      </c>
      <c r="C687" s="129" t="str">
        <f aca="false">'🖐🏾 Human'!C27</f>
        <v>Heading</v>
      </c>
      <c r="D687" s="163" t="n">
        <f aca="false">'🖐🏾 Human'!E27</f>
        <v>0.1678832117</v>
      </c>
      <c r="E687" s="129" t="n">
        <f aca="false">'🖐🏾 Human'!F27</f>
        <v>3</v>
      </c>
      <c r="F687" s="129" t="n">
        <f aca="false">'🖐🏾 Human'!G27</f>
        <v>5</v>
      </c>
      <c r="G687" s="129" t="n">
        <f aca="false">'🖐🏾 Human'!H27</f>
        <v>5</v>
      </c>
      <c r="H687" s="129" t="n">
        <f aca="false">'🖐🏾 Human'!I27</f>
        <v>5</v>
      </c>
      <c r="I687" s="129" t="n">
        <f aca="false">'🖐🏾 Human'!J27</f>
        <v>2</v>
      </c>
    </row>
    <row r="688" customFormat="false" ht="15.75" hidden="false" customHeight="false" outlineLevel="0" collapsed="false">
      <c r="A688" s="128" t="str">
        <f aca="false">'🖐🏾 Human'!$A$27</f>
        <v>https://www.berria.eus/euskal-herria/pintaketa-faxistak-egin-dituzte-irunean_2124262_102.html</v>
      </c>
      <c r="B688" s="4" t="s">
        <v>15</v>
      </c>
      <c r="C688" s="129" t="str">
        <f aca="false">'🖐🏾 Human'!C28</f>
        <v>Jeremy</v>
      </c>
      <c r="D688" s="163" t="n">
        <f aca="false">'🖐🏾 Human'!E28</f>
        <v>0.2700729927</v>
      </c>
      <c r="E688" s="129" t="n">
        <f aca="false">'🖐🏾 Human'!F28</f>
        <v>0</v>
      </c>
      <c r="F688" s="129" t="n">
        <f aca="false">'🖐🏾 Human'!G28</f>
        <v>0</v>
      </c>
      <c r="G688" s="129" t="n">
        <f aca="false">'🖐🏾 Human'!H28</f>
        <v>0</v>
      </c>
      <c r="H688" s="129" t="n">
        <f aca="false">'🖐🏾 Human'!I28</f>
        <v>0</v>
      </c>
      <c r="I688" s="129" t="n">
        <f aca="false">'🖐🏾 Human'!J28</f>
        <v>0</v>
      </c>
    </row>
    <row r="689" customFormat="false" ht="15.75" hidden="false" customHeight="false" outlineLevel="0" collapsed="false">
      <c r="A689" s="128" t="str">
        <f aca="false">'🖐🏾 Human'!$A$27</f>
        <v>https://www.berria.eus/euskal-herria/pintaketa-faxistak-egin-dituzte-irunean_2124262_102.html</v>
      </c>
      <c r="B689" s="4" t="s">
        <v>15</v>
      </c>
      <c r="C689" s="129" t="n">
        <f aca="false">'🖐🏾 Human'!C29</f>
        <v>0</v>
      </c>
      <c r="D689" s="163" t="n">
        <f aca="false">'🖐🏾 Human'!E29</f>
        <v>0.007299270073</v>
      </c>
      <c r="E689" s="129" t="n">
        <f aca="false">'🖐🏾 Human'!F29</f>
        <v>0</v>
      </c>
      <c r="F689" s="129" t="n">
        <f aca="false">'🖐🏾 Human'!G29</f>
        <v>0</v>
      </c>
      <c r="G689" s="129" t="n">
        <f aca="false">'🖐🏾 Human'!H29</f>
        <v>0</v>
      </c>
      <c r="H689" s="129" t="n">
        <f aca="false">'🖐🏾 Human'!I29</f>
        <v>0</v>
      </c>
      <c r="I689" s="129" t="n">
        <f aca="false">'🖐🏾 Human'!J29</f>
        <v>0</v>
      </c>
    </row>
    <row r="690" customFormat="false" ht="15.75" hidden="false" customHeight="false" outlineLevel="0" collapsed="false">
      <c r="A690" s="128" t="str">
        <f aca="false">'🖐🏾 Human'!$A$27</f>
        <v>https://www.berria.eus/euskal-herria/pintaketa-faxistak-egin-dituzte-irunean_2124262_102.html</v>
      </c>
      <c r="B690" s="4" t="s">
        <v>15</v>
      </c>
      <c r="C690" s="129" t="n">
        <f aca="false">'🖐🏾 Human'!C30</f>
        <v>0</v>
      </c>
      <c r="D690" s="163" t="n">
        <f aca="false">'🖐🏾 Human'!E30</f>
        <v>0.007299270073</v>
      </c>
      <c r="E690" s="129" t="n">
        <f aca="false">'🖐🏾 Human'!F30</f>
        <v>0</v>
      </c>
      <c r="F690" s="129" t="n">
        <f aca="false">'🖐🏾 Human'!G30</f>
        <v>0</v>
      </c>
      <c r="G690" s="129" t="n">
        <f aca="false">'🖐🏾 Human'!H30</f>
        <v>0</v>
      </c>
      <c r="H690" s="129" t="n">
        <f aca="false">'🖐🏾 Human'!I30</f>
        <v>0</v>
      </c>
      <c r="I690" s="129" t="n">
        <f aca="false">'🖐🏾 Human'!J30</f>
        <v>0</v>
      </c>
    </row>
    <row r="691" customFormat="false" ht="15.75" hidden="false" customHeight="false" outlineLevel="0" collapsed="false">
      <c r="A691" s="9"/>
      <c r="B691" s="4"/>
      <c r="C691" s="6"/>
      <c r="D691" s="163"/>
      <c r="E691" s="6"/>
      <c r="F691" s="6"/>
      <c r="G691" s="6"/>
      <c r="H691" s="6"/>
      <c r="I691" s="6"/>
    </row>
    <row r="692" customFormat="false" ht="15.75" hidden="false" customHeight="false" outlineLevel="0" collapsed="false">
      <c r="A692" s="128" t="str">
        <f aca="false">'🖐🏾 Human'!$A$32</f>
        <v>https://www.berria.eus/ekonomia/eolikoen-arlorako-laguntzetan-orain-halako-bi-jarriko-du-ebk-1400-milioi_1343992_102.html</v>
      </c>
      <c r="B692" s="4" t="s">
        <v>15</v>
      </c>
      <c r="C692" s="129" t="str">
        <f aca="false">'🖐🏾 Human'!C32</f>
        <v>Heading</v>
      </c>
      <c r="D692" s="163" t="n">
        <f aca="false">'🖐🏾 Human'!E32</f>
        <v>0.05882352941</v>
      </c>
      <c r="E692" s="129" t="n">
        <f aca="false">'🖐🏾 Human'!F32</f>
        <v>4</v>
      </c>
      <c r="F692" s="129" t="n">
        <f aca="false">'🖐🏾 Human'!G32</f>
        <v>5</v>
      </c>
      <c r="G692" s="129" t="n">
        <f aca="false">'🖐🏾 Human'!H32</f>
        <v>5</v>
      </c>
      <c r="H692" s="129" t="n">
        <f aca="false">'🖐🏾 Human'!I32</f>
        <v>5</v>
      </c>
      <c r="I692" s="129" t="n">
        <f aca="false">'🖐🏾 Human'!J32</f>
        <v>2</v>
      </c>
    </row>
    <row r="693" customFormat="false" ht="15.75" hidden="false" customHeight="false" outlineLevel="0" collapsed="false">
      <c r="A693" s="128" t="str">
        <f aca="false">'🖐🏾 Human'!$A$32</f>
        <v>https://www.berria.eus/ekonomia/eolikoen-arlorako-laguntzetan-orain-halako-bi-jarriko-du-ebk-1400-milioi_1343992_102.html</v>
      </c>
      <c r="B693" s="4" t="s">
        <v>15</v>
      </c>
      <c r="C693" s="129" t="str">
        <f aca="false">'🖐🏾 Human'!C33</f>
        <v>Jeremy</v>
      </c>
      <c r="D693" s="163" t="n">
        <f aca="false">'🖐🏾 Human'!E33</f>
        <v>0.2505446623</v>
      </c>
      <c r="E693" s="129" t="n">
        <f aca="false">'🖐🏾 Human'!F33</f>
        <v>0</v>
      </c>
      <c r="F693" s="129" t="n">
        <f aca="false">'🖐🏾 Human'!G33</f>
        <v>0</v>
      </c>
      <c r="G693" s="129" t="n">
        <f aca="false">'🖐🏾 Human'!H33</f>
        <v>0</v>
      </c>
      <c r="H693" s="129" t="n">
        <f aca="false">'🖐🏾 Human'!I33</f>
        <v>0</v>
      </c>
      <c r="I693" s="129" t="n">
        <f aca="false">'🖐🏾 Human'!J33</f>
        <v>0</v>
      </c>
    </row>
    <row r="694" customFormat="false" ht="15.75" hidden="false" customHeight="false" outlineLevel="0" collapsed="false">
      <c r="A694" s="128" t="str">
        <f aca="false">'🖐🏾 Human'!$A$32</f>
        <v>https://www.berria.eus/ekonomia/eolikoen-arlorako-laguntzetan-orain-halako-bi-jarriko-du-ebk-1400-milioi_1343992_102.html</v>
      </c>
      <c r="B694" s="4" t="s">
        <v>15</v>
      </c>
      <c r="C694" s="129" t="n">
        <f aca="false">'🖐🏾 Human'!C34</f>
        <v>0</v>
      </c>
      <c r="D694" s="163" t="n">
        <f aca="false">'🖐🏾 Human'!E34</f>
        <v>0.002178649237</v>
      </c>
      <c r="E694" s="129" t="n">
        <f aca="false">'🖐🏾 Human'!F34</f>
        <v>0</v>
      </c>
      <c r="F694" s="129" t="n">
        <f aca="false">'🖐🏾 Human'!G34</f>
        <v>0</v>
      </c>
      <c r="G694" s="129" t="n">
        <f aca="false">'🖐🏾 Human'!H34</f>
        <v>0</v>
      </c>
      <c r="H694" s="129" t="n">
        <f aca="false">'🖐🏾 Human'!I34</f>
        <v>0</v>
      </c>
      <c r="I694" s="129" t="n">
        <f aca="false">'🖐🏾 Human'!J34</f>
        <v>0</v>
      </c>
    </row>
    <row r="695" customFormat="false" ht="15.75" hidden="false" customHeight="false" outlineLevel="0" collapsed="false">
      <c r="A695" s="128" t="str">
        <f aca="false">'🖐🏾 Human'!$A$32</f>
        <v>https://www.berria.eus/ekonomia/eolikoen-arlorako-laguntzetan-orain-halako-bi-jarriko-du-ebk-1400-milioi_1343992_102.html</v>
      </c>
      <c r="B695" s="4" t="s">
        <v>15</v>
      </c>
      <c r="C695" s="129" t="n">
        <f aca="false">'🖐🏾 Human'!C35</f>
        <v>0</v>
      </c>
      <c r="D695" s="163" t="n">
        <f aca="false">'🖐🏾 Human'!E35</f>
        <v>0.002178649237</v>
      </c>
      <c r="E695" s="129" t="n">
        <f aca="false">'🖐🏾 Human'!F35</f>
        <v>0</v>
      </c>
      <c r="F695" s="129" t="n">
        <f aca="false">'🖐🏾 Human'!G35</f>
        <v>0</v>
      </c>
      <c r="G695" s="129" t="n">
        <f aca="false">'🖐🏾 Human'!H35</f>
        <v>0</v>
      </c>
      <c r="H695" s="129" t="n">
        <f aca="false">'🖐🏾 Human'!I35</f>
        <v>0</v>
      </c>
      <c r="I695" s="129" t="n">
        <f aca="false">'🖐🏾 Human'!J35</f>
        <v>0</v>
      </c>
    </row>
    <row r="696" customFormat="false" ht="15.75" hidden="false" customHeight="false" outlineLevel="0" collapsed="false">
      <c r="A696" s="9"/>
      <c r="B696" s="4"/>
      <c r="C696" s="6"/>
      <c r="D696" s="163"/>
      <c r="E696" s="6"/>
      <c r="F696" s="6"/>
      <c r="G696" s="6"/>
      <c r="H696" s="6"/>
      <c r="I696" s="6"/>
    </row>
    <row r="697" customFormat="false" ht="15.75" hidden="false" customHeight="false" outlineLevel="0" collapsed="false">
      <c r="A697" s="128" t="str">
        <f aca="false">'🖐🏾 Human'!$A$37</f>
        <v>https://www.berria.eus/kultura/itsasun-egingo-dute-irailekoak-poesia-jaialdia-aurten_2125293_102.html</v>
      </c>
      <c r="B697" s="4" t="s">
        <v>15</v>
      </c>
      <c r="C697" s="129" t="str">
        <f aca="false">'🖐🏾 Human'!C37</f>
        <v>Heading</v>
      </c>
      <c r="D697" s="163" t="n">
        <f aca="false">'🖐🏾 Human'!E37</f>
        <v>0.1801242236</v>
      </c>
      <c r="E697" s="129" t="n">
        <f aca="false">'🖐🏾 Human'!F37</f>
        <v>4</v>
      </c>
      <c r="F697" s="129" t="n">
        <f aca="false">'🖐🏾 Human'!G37</f>
        <v>4</v>
      </c>
      <c r="G697" s="129" t="n">
        <f aca="false">'🖐🏾 Human'!H37</f>
        <v>5</v>
      </c>
      <c r="H697" s="129" t="n">
        <f aca="false">'🖐🏾 Human'!I37</f>
        <v>5</v>
      </c>
      <c r="I697" s="129" t="n">
        <f aca="false">'🖐🏾 Human'!J37</f>
        <v>2</v>
      </c>
    </row>
    <row r="698" customFormat="false" ht="15.75" hidden="false" customHeight="false" outlineLevel="0" collapsed="false">
      <c r="A698" s="128" t="str">
        <f aca="false">'🖐🏾 Human'!$A$37</f>
        <v>https://www.berria.eus/kultura/itsasun-egingo-dute-irailekoak-poesia-jaialdia-aurten_2125293_102.html</v>
      </c>
      <c r="B698" s="4" t="s">
        <v>15</v>
      </c>
      <c r="C698" s="129" t="str">
        <f aca="false">'🖐🏾 Human'!C38</f>
        <v>Jeremy</v>
      </c>
      <c r="D698" s="163" t="n">
        <f aca="false">'🖐🏾 Human'!E38</f>
        <v>0.2732919255</v>
      </c>
      <c r="E698" s="129" t="n">
        <f aca="false">'🖐🏾 Human'!F38</f>
        <v>0</v>
      </c>
      <c r="F698" s="129" t="n">
        <f aca="false">'🖐🏾 Human'!G38</f>
        <v>0</v>
      </c>
      <c r="G698" s="129" t="n">
        <f aca="false">'🖐🏾 Human'!H38</f>
        <v>0</v>
      </c>
      <c r="H698" s="129" t="n">
        <f aca="false">'🖐🏾 Human'!I38</f>
        <v>0</v>
      </c>
      <c r="I698" s="129" t="n">
        <f aca="false">'🖐🏾 Human'!J38</f>
        <v>0</v>
      </c>
    </row>
    <row r="699" customFormat="false" ht="15.75" hidden="false" customHeight="false" outlineLevel="0" collapsed="false">
      <c r="A699" s="128" t="str">
        <f aca="false">'🖐🏾 Human'!$A$37</f>
        <v>https://www.berria.eus/kultura/itsasun-egingo-dute-irailekoak-poesia-jaialdia-aurten_2125293_102.html</v>
      </c>
      <c r="B699" s="4" t="s">
        <v>15</v>
      </c>
      <c r="C699" s="129" t="n">
        <f aca="false">'🖐🏾 Human'!C39</f>
        <v>0</v>
      </c>
      <c r="D699" s="163" t="n">
        <f aca="false">'🖐🏾 Human'!E39</f>
        <v>0.006211180124</v>
      </c>
      <c r="E699" s="129" t="n">
        <f aca="false">'🖐🏾 Human'!F39</f>
        <v>0</v>
      </c>
      <c r="F699" s="129" t="n">
        <f aca="false">'🖐🏾 Human'!G39</f>
        <v>0</v>
      </c>
      <c r="G699" s="129" t="n">
        <f aca="false">'🖐🏾 Human'!H39</f>
        <v>0</v>
      </c>
      <c r="H699" s="129" t="n">
        <f aca="false">'🖐🏾 Human'!I39</f>
        <v>0</v>
      </c>
      <c r="I699" s="129" t="n">
        <f aca="false">'🖐🏾 Human'!J39</f>
        <v>0</v>
      </c>
    </row>
    <row r="700" customFormat="false" ht="15.75" hidden="false" customHeight="false" outlineLevel="0" collapsed="false">
      <c r="A700" s="128" t="str">
        <f aca="false">'🖐🏾 Human'!$A$37</f>
        <v>https://www.berria.eus/kultura/itsasun-egingo-dute-irailekoak-poesia-jaialdia-aurten_2125293_102.html</v>
      </c>
      <c r="B700" s="4" t="s">
        <v>15</v>
      </c>
      <c r="C700" s="129" t="n">
        <f aca="false">'🖐🏾 Human'!C40</f>
        <v>0</v>
      </c>
      <c r="D700" s="163" t="n">
        <f aca="false">'🖐🏾 Human'!E40</f>
        <v>0.006211180124</v>
      </c>
      <c r="E700" s="129" t="n">
        <f aca="false">'🖐🏾 Human'!F40</f>
        <v>0</v>
      </c>
      <c r="F700" s="129" t="n">
        <f aca="false">'🖐🏾 Human'!G40</f>
        <v>0</v>
      </c>
      <c r="G700" s="129" t="n">
        <f aca="false">'🖐🏾 Human'!H40</f>
        <v>0</v>
      </c>
      <c r="H700" s="129" t="n">
        <f aca="false">'🖐🏾 Human'!I40</f>
        <v>0</v>
      </c>
      <c r="I700" s="129" t="n">
        <f aca="false">'🖐🏾 Human'!J40</f>
        <v>0</v>
      </c>
    </row>
    <row r="701" customFormat="false" ht="15.75" hidden="false" customHeight="false" outlineLevel="0" collapsed="false">
      <c r="A701" s="9"/>
      <c r="B701" s="4"/>
      <c r="C701" s="6"/>
      <c r="D701" s="163"/>
      <c r="E701" s="6"/>
      <c r="F701" s="6"/>
      <c r="G701" s="6"/>
      <c r="H701" s="6"/>
      <c r="I701" s="6"/>
    </row>
    <row r="702" customFormat="false" ht="15.75" hidden="false" customHeight="false" outlineLevel="0" collapsed="false">
      <c r="A702" s="128" t="str">
        <f aca="false">'🖐🏾 Human'!$A$42</f>
        <v>https://www.berria.eus/kultura/nolabaiteko-kontrarreforma-bat-gertatzen-ari-da-eta-horren-aurrean-elkartu-beharra-daukagu_2124481_102.html</v>
      </c>
      <c r="B702" s="4" t="s">
        <v>15</v>
      </c>
      <c r="C702" s="129" t="str">
        <f aca="false">'🖐🏾 Human'!C42</f>
        <v>Heading</v>
      </c>
      <c r="D702" s="163" t="n">
        <f aca="false">'🖐🏾 Human'!E42</f>
        <v>0.05405405405</v>
      </c>
      <c r="E702" s="129" t="n">
        <f aca="false">'🖐🏾 Human'!F42</f>
        <v>3</v>
      </c>
      <c r="F702" s="129" t="n">
        <f aca="false">'🖐🏾 Human'!G42</f>
        <v>5</v>
      </c>
      <c r="G702" s="129" t="n">
        <f aca="false">'🖐🏾 Human'!H42</f>
        <v>5</v>
      </c>
      <c r="H702" s="129" t="n">
        <f aca="false">'🖐🏾 Human'!I42</f>
        <v>5</v>
      </c>
      <c r="I702" s="129" t="n">
        <f aca="false">'🖐🏾 Human'!J42</f>
        <v>2</v>
      </c>
    </row>
    <row r="703" customFormat="false" ht="15.75" hidden="false" customHeight="false" outlineLevel="0" collapsed="false">
      <c r="A703" s="128" t="str">
        <f aca="false">'🖐🏾 Human'!$A$42</f>
        <v>https://www.berria.eus/kultura/nolabaiteko-kontrarreforma-bat-gertatzen-ari-da-eta-horren-aurrean-elkartu-beharra-daukagu_2124481_102.html</v>
      </c>
      <c r="B703" s="4" t="s">
        <v>15</v>
      </c>
      <c r="C703" s="129" t="str">
        <f aca="false">'🖐🏾 Human'!C43</f>
        <v>Jeremy</v>
      </c>
      <c r="D703" s="163" t="n">
        <f aca="false">'🖐🏾 Human'!E43</f>
        <v>0.1399046105</v>
      </c>
      <c r="E703" s="129" t="n">
        <f aca="false">'🖐🏾 Human'!F43</f>
        <v>0</v>
      </c>
      <c r="F703" s="129" t="n">
        <f aca="false">'🖐🏾 Human'!G43</f>
        <v>0</v>
      </c>
      <c r="G703" s="129" t="n">
        <f aca="false">'🖐🏾 Human'!H43</f>
        <v>0</v>
      </c>
      <c r="H703" s="129" t="n">
        <f aca="false">'🖐🏾 Human'!I43</f>
        <v>0</v>
      </c>
      <c r="I703" s="129" t="n">
        <f aca="false">'🖐🏾 Human'!J43</f>
        <v>0</v>
      </c>
    </row>
    <row r="704" customFormat="false" ht="15.75" hidden="false" customHeight="false" outlineLevel="0" collapsed="false">
      <c r="A704" s="128" t="str">
        <f aca="false">'🖐🏾 Human'!$A$42</f>
        <v>https://www.berria.eus/kultura/nolabaiteko-kontrarreforma-bat-gertatzen-ari-da-eta-horren-aurrean-elkartu-beharra-daukagu_2124481_102.html</v>
      </c>
      <c r="B704" s="4" t="s">
        <v>15</v>
      </c>
      <c r="C704" s="129" t="n">
        <f aca="false">'🖐🏾 Human'!C44</f>
        <v>0</v>
      </c>
      <c r="D704" s="163" t="n">
        <f aca="false">'🖐🏾 Human'!E44</f>
        <v>0.001589825119</v>
      </c>
      <c r="E704" s="129" t="n">
        <f aca="false">'🖐🏾 Human'!F44</f>
        <v>0</v>
      </c>
      <c r="F704" s="129" t="n">
        <f aca="false">'🖐🏾 Human'!G44</f>
        <v>0</v>
      </c>
      <c r="G704" s="129" t="n">
        <f aca="false">'🖐🏾 Human'!H44</f>
        <v>0</v>
      </c>
      <c r="H704" s="129" t="n">
        <f aca="false">'🖐🏾 Human'!I44</f>
        <v>0</v>
      </c>
      <c r="I704" s="129" t="n">
        <f aca="false">'🖐🏾 Human'!J44</f>
        <v>0</v>
      </c>
    </row>
    <row r="705" customFormat="false" ht="15.75" hidden="false" customHeight="false" outlineLevel="0" collapsed="false">
      <c r="A705" s="128" t="str">
        <f aca="false">'🖐🏾 Human'!$A$42</f>
        <v>https://www.berria.eus/kultura/nolabaiteko-kontrarreforma-bat-gertatzen-ari-da-eta-horren-aurrean-elkartu-beharra-daukagu_2124481_102.html</v>
      </c>
      <c r="B705" s="4" t="s">
        <v>15</v>
      </c>
      <c r="C705" s="129" t="n">
        <f aca="false">'🖐🏾 Human'!C45</f>
        <v>0</v>
      </c>
      <c r="D705" s="163" t="n">
        <f aca="false">'🖐🏾 Human'!E45</f>
        <v>0.001589825119</v>
      </c>
      <c r="E705" s="129" t="n">
        <f aca="false">'🖐🏾 Human'!F45</f>
        <v>0</v>
      </c>
      <c r="F705" s="129" t="n">
        <f aca="false">'🖐🏾 Human'!G45</f>
        <v>0</v>
      </c>
      <c r="G705" s="129" t="n">
        <f aca="false">'🖐🏾 Human'!H45</f>
        <v>0</v>
      </c>
      <c r="H705" s="129" t="n">
        <f aca="false">'🖐🏾 Human'!I45</f>
        <v>0</v>
      </c>
      <c r="I705" s="129" t="n">
        <f aca="false">'🖐🏾 Human'!J45</f>
        <v>0</v>
      </c>
    </row>
    <row r="706" customFormat="false" ht="15.75" hidden="false" customHeight="false" outlineLevel="0" collapsed="false">
      <c r="A706" s="9"/>
      <c r="B706" s="4"/>
      <c r="C706" s="6"/>
      <c r="D706" s="163"/>
      <c r="E706" s="6"/>
      <c r="F706" s="6"/>
      <c r="G706" s="6"/>
      <c r="H706" s="6"/>
      <c r="I706" s="6"/>
    </row>
    <row r="707" customFormat="false" ht="15.75" hidden="false" customHeight="false" outlineLevel="0" collapsed="false">
      <c r="A707" s="128" t="str">
        <f aca="false">'🖐🏾 Human'!$A$47</f>
        <v>https://www.berria.eus/euskal-herria/ortuzarrek-dio-eajk-euskadiko-estatus-berriari-bultzada-eman-nahi-diola_2124257_102.html</v>
      </c>
      <c r="B707" s="4" t="s">
        <v>15</v>
      </c>
      <c r="C707" s="129" t="str">
        <f aca="false">'🖐🏾 Human'!C47</f>
        <v>Heading</v>
      </c>
      <c r="D707" s="163" t="n">
        <f aca="false">'🖐🏾 Human'!E47</f>
        <v>0.06273764259</v>
      </c>
      <c r="E707" s="129" t="n">
        <f aca="false">'🖐🏾 Human'!F47</f>
        <v>4</v>
      </c>
      <c r="F707" s="129" t="n">
        <f aca="false">'🖐🏾 Human'!G47</f>
        <v>5</v>
      </c>
      <c r="G707" s="129" t="n">
        <f aca="false">'🖐🏾 Human'!H47</f>
        <v>5</v>
      </c>
      <c r="H707" s="129" t="n">
        <f aca="false">'🖐🏾 Human'!I47</f>
        <v>5</v>
      </c>
      <c r="I707" s="129" t="n">
        <f aca="false">'🖐🏾 Human'!J47</f>
        <v>3</v>
      </c>
    </row>
    <row r="708" customFormat="false" ht="15.75" hidden="false" customHeight="false" outlineLevel="0" collapsed="false">
      <c r="A708" s="128" t="str">
        <f aca="false">'🖐🏾 Human'!$A$47</f>
        <v>https://www.berria.eus/euskal-herria/ortuzarrek-dio-eajk-euskadiko-estatus-berriari-bultzada-eman-nahi-diola_2124257_102.html</v>
      </c>
      <c r="B708" s="4" t="s">
        <v>15</v>
      </c>
      <c r="C708" s="129" t="str">
        <f aca="false">'🖐🏾 Human'!C48</f>
        <v>Jeremy</v>
      </c>
      <c r="D708" s="163" t="n">
        <f aca="false">'🖐🏾 Human'!E48</f>
        <v>0.1996197719</v>
      </c>
      <c r="E708" s="129" t="n">
        <f aca="false">'🖐🏾 Human'!F48</f>
        <v>0</v>
      </c>
      <c r="F708" s="129" t="n">
        <f aca="false">'🖐🏾 Human'!G48</f>
        <v>0</v>
      </c>
      <c r="G708" s="129" t="n">
        <f aca="false">'🖐🏾 Human'!H48</f>
        <v>0</v>
      </c>
      <c r="H708" s="129" t="n">
        <f aca="false">'🖐🏾 Human'!I48</f>
        <v>0</v>
      </c>
      <c r="I708" s="129" t="n">
        <f aca="false">'🖐🏾 Human'!J48</f>
        <v>0</v>
      </c>
    </row>
    <row r="709" customFormat="false" ht="15.75" hidden="false" customHeight="false" outlineLevel="0" collapsed="false">
      <c r="A709" s="128" t="str">
        <f aca="false">'🖐🏾 Human'!$A$47</f>
        <v>https://www.berria.eus/euskal-herria/ortuzarrek-dio-eajk-euskadiko-estatus-berriari-bultzada-eman-nahi-diola_2124257_102.html</v>
      </c>
      <c r="B709" s="4" t="s">
        <v>15</v>
      </c>
      <c r="C709" s="129" t="n">
        <f aca="false">'🖐🏾 Human'!C49</f>
        <v>0</v>
      </c>
      <c r="D709" s="163" t="n">
        <f aca="false">'🖐🏾 Human'!E49</f>
        <v>0.001901140684</v>
      </c>
      <c r="E709" s="129" t="n">
        <f aca="false">'🖐🏾 Human'!F49</f>
        <v>0</v>
      </c>
      <c r="F709" s="129" t="n">
        <f aca="false">'🖐🏾 Human'!G49</f>
        <v>0</v>
      </c>
      <c r="G709" s="129" t="n">
        <f aca="false">'🖐🏾 Human'!H49</f>
        <v>0</v>
      </c>
      <c r="H709" s="129" t="n">
        <f aca="false">'🖐🏾 Human'!I49</f>
        <v>0</v>
      </c>
      <c r="I709" s="129" t="n">
        <f aca="false">'🖐🏾 Human'!J49</f>
        <v>0</v>
      </c>
    </row>
    <row r="710" customFormat="false" ht="15.75" hidden="false" customHeight="false" outlineLevel="0" collapsed="false">
      <c r="A710" s="128" t="str">
        <f aca="false">'🖐🏾 Human'!$A$47</f>
        <v>https://www.berria.eus/euskal-herria/ortuzarrek-dio-eajk-euskadiko-estatus-berriari-bultzada-eman-nahi-diola_2124257_102.html</v>
      </c>
      <c r="B710" s="4" t="s">
        <v>15</v>
      </c>
      <c r="C710" s="129" t="n">
        <f aca="false">'🖐🏾 Human'!C50</f>
        <v>0</v>
      </c>
      <c r="D710" s="163" t="n">
        <f aca="false">'🖐🏾 Human'!E50</f>
        <v>0.001901140684</v>
      </c>
      <c r="E710" s="129" t="n">
        <f aca="false">'🖐🏾 Human'!F50</f>
        <v>0</v>
      </c>
      <c r="F710" s="129" t="n">
        <f aca="false">'🖐🏾 Human'!G50</f>
        <v>0</v>
      </c>
      <c r="G710" s="129" t="n">
        <f aca="false">'🖐🏾 Human'!H50</f>
        <v>0</v>
      </c>
      <c r="H710" s="129" t="n">
        <f aca="false">'🖐🏾 Human'!I50</f>
        <v>0</v>
      </c>
      <c r="I710" s="129" t="n">
        <f aca="false">'🖐🏾 Human'!J50</f>
        <v>0</v>
      </c>
    </row>
    <row r="711" customFormat="false" ht="15.75" hidden="false" customHeight="false" outlineLevel="0" collapsed="false">
      <c r="A711" s="128"/>
      <c r="B711" s="4"/>
      <c r="C711" s="6"/>
      <c r="D711" s="163"/>
      <c r="E711" s="6"/>
      <c r="F711" s="6"/>
      <c r="G711" s="6"/>
      <c r="H711" s="6"/>
      <c r="I711" s="6"/>
    </row>
    <row r="712" customFormat="false" ht="15.75" hidden="false" customHeight="false" outlineLevel="0" collapsed="false">
      <c r="A712" s="128" t="n">
        <f aca="false">'🖐🏾 Human'!$A$52</f>
        <v>0</v>
      </c>
      <c r="B712" s="4" t="s">
        <v>15</v>
      </c>
      <c r="C712" s="129" t="n">
        <f aca="false">'🖐🏾 Human'!C52</f>
        <v>0</v>
      </c>
      <c r="D712" s="163" t="n">
        <f aca="false">'🖐🏾 Human'!E52</f>
        <v>0</v>
      </c>
      <c r="E712" s="129" t="n">
        <f aca="false">'🖐🏾 Human'!F52</f>
        <v>0</v>
      </c>
      <c r="F712" s="129" t="n">
        <f aca="false">'🖐🏾 Human'!G52</f>
        <v>0</v>
      </c>
      <c r="G712" s="129" t="n">
        <f aca="false">'🖐🏾 Human'!H52</f>
        <v>0</v>
      </c>
      <c r="H712" s="129" t="n">
        <f aca="false">'🖐🏾 Human'!I52</f>
        <v>0</v>
      </c>
      <c r="I712" s="129" t="n">
        <f aca="false">'🖐🏾 Human'!J52</f>
        <v>0</v>
      </c>
    </row>
    <row r="713" customFormat="false" ht="15.75" hidden="false" customHeight="false" outlineLevel="0" collapsed="false">
      <c r="A713" s="128" t="n">
        <f aca="false">'🖐🏾 Human'!$A$52</f>
        <v>0</v>
      </c>
      <c r="B713" s="4" t="s">
        <v>15</v>
      </c>
      <c r="C713" s="129" t="n">
        <f aca="false">'🖐🏾 Human'!C53</f>
        <v>0</v>
      </c>
      <c r="D713" s="163" t="n">
        <f aca="false">'🖐🏾 Human'!E53</f>
        <v>0</v>
      </c>
      <c r="E713" s="129" t="n">
        <f aca="false">'🖐🏾 Human'!F53</f>
        <v>0</v>
      </c>
      <c r="F713" s="129" t="n">
        <f aca="false">'🖐🏾 Human'!G53</f>
        <v>0</v>
      </c>
      <c r="G713" s="129" t="n">
        <f aca="false">'🖐🏾 Human'!H53</f>
        <v>0</v>
      </c>
      <c r="H713" s="129" t="n">
        <f aca="false">'🖐🏾 Human'!I53</f>
        <v>0</v>
      </c>
      <c r="I713" s="129" t="n">
        <f aca="false">'🖐🏾 Human'!J53</f>
        <v>0</v>
      </c>
    </row>
    <row r="714" customFormat="false" ht="15.75" hidden="false" customHeight="false" outlineLevel="0" collapsed="false">
      <c r="A714" s="128" t="n">
        <f aca="false">'🖐🏾 Human'!$A$52</f>
        <v>0</v>
      </c>
      <c r="B714" s="4" t="s">
        <v>15</v>
      </c>
      <c r="C714" s="129" t="n">
        <f aca="false">'🖐🏾 Human'!C54</f>
        <v>0</v>
      </c>
      <c r="D714" s="163" t="n">
        <f aca="false">'🖐🏾 Human'!E54</f>
        <v>0</v>
      </c>
      <c r="E714" s="129" t="n">
        <f aca="false">'🖐🏾 Human'!F54</f>
        <v>0</v>
      </c>
      <c r="F714" s="129" t="n">
        <f aca="false">'🖐🏾 Human'!G54</f>
        <v>0</v>
      </c>
      <c r="G714" s="129" t="n">
        <f aca="false">'🖐🏾 Human'!H54</f>
        <v>0</v>
      </c>
      <c r="H714" s="129" t="n">
        <f aca="false">'🖐🏾 Human'!I54</f>
        <v>0</v>
      </c>
      <c r="I714" s="129" t="n">
        <f aca="false">'🖐🏾 Human'!J54</f>
        <v>0</v>
      </c>
    </row>
    <row r="715" customFormat="false" ht="15.75" hidden="false" customHeight="false" outlineLevel="0" collapsed="false">
      <c r="A715" s="128" t="n">
        <f aca="false">'🖐🏾 Human'!$A$52</f>
        <v>0</v>
      </c>
      <c r="B715" s="4" t="s">
        <v>15</v>
      </c>
      <c r="C715" s="129" t="n">
        <f aca="false">'🖐🏾 Human'!C55</f>
        <v>0</v>
      </c>
      <c r="D715" s="163" t="n">
        <f aca="false">'🖐🏾 Human'!E55</f>
        <v>0</v>
      </c>
      <c r="E715" s="129" t="n">
        <f aca="false">'🖐🏾 Human'!F55</f>
        <v>0</v>
      </c>
      <c r="F715" s="129" t="n">
        <f aca="false">'🖐🏾 Human'!G55</f>
        <v>0</v>
      </c>
      <c r="G715" s="129" t="n">
        <f aca="false">'🖐🏾 Human'!H55</f>
        <v>0</v>
      </c>
      <c r="H715" s="129" t="n">
        <f aca="false">'🖐🏾 Human'!I55</f>
        <v>0</v>
      </c>
      <c r="I715" s="129" t="n">
        <f aca="false">'🖐🏾 Human'!J55</f>
        <v>0</v>
      </c>
    </row>
    <row r="716" customFormat="false" ht="15.75" hidden="false" customHeight="false" outlineLevel="0" collapsed="false">
      <c r="A716" s="128"/>
      <c r="B716" s="4"/>
      <c r="C716" s="6"/>
      <c r="D716" s="163"/>
      <c r="E716" s="6"/>
      <c r="F716" s="6"/>
      <c r="G716" s="6"/>
      <c r="H716" s="6"/>
      <c r="I716" s="6"/>
    </row>
    <row r="717" customFormat="false" ht="15.75" hidden="false" customHeight="false" outlineLevel="0" collapsed="false">
      <c r="A717" s="128" t="n">
        <f aca="false">'🖐🏾 Human'!$A$57</f>
        <v>0</v>
      </c>
      <c r="B717" s="4" t="s">
        <v>15</v>
      </c>
      <c r="C717" s="129" t="n">
        <f aca="false">'🖐🏾 Human'!C57</f>
        <v>0</v>
      </c>
      <c r="D717" s="163" t="n">
        <f aca="false">'🖐🏾 Human'!E57</f>
        <v>0</v>
      </c>
      <c r="E717" s="129" t="n">
        <f aca="false">'🖐🏾 Human'!F57</f>
        <v>0</v>
      </c>
      <c r="F717" s="129" t="n">
        <f aca="false">'🖐🏾 Human'!G57</f>
        <v>0</v>
      </c>
      <c r="G717" s="129" t="n">
        <f aca="false">'🖐🏾 Human'!H57</f>
        <v>0</v>
      </c>
      <c r="H717" s="129" t="n">
        <f aca="false">'🖐🏾 Human'!I57</f>
        <v>0</v>
      </c>
      <c r="I717" s="129" t="n">
        <f aca="false">'🖐🏾 Human'!J57</f>
        <v>0</v>
      </c>
    </row>
    <row r="718" customFormat="false" ht="15.75" hidden="false" customHeight="false" outlineLevel="0" collapsed="false">
      <c r="A718" s="128" t="n">
        <f aca="false">'🖐🏾 Human'!$A$57</f>
        <v>0</v>
      </c>
      <c r="B718" s="4" t="s">
        <v>15</v>
      </c>
      <c r="C718" s="129" t="n">
        <f aca="false">'🖐🏾 Human'!C58</f>
        <v>0</v>
      </c>
      <c r="D718" s="163" t="n">
        <f aca="false">'🖐🏾 Human'!E58</f>
        <v>0</v>
      </c>
      <c r="E718" s="129" t="n">
        <f aca="false">'🖐🏾 Human'!F58</f>
        <v>0</v>
      </c>
      <c r="F718" s="129" t="n">
        <f aca="false">'🖐🏾 Human'!G58</f>
        <v>0</v>
      </c>
      <c r="G718" s="129" t="n">
        <f aca="false">'🖐🏾 Human'!H58</f>
        <v>0</v>
      </c>
      <c r="H718" s="129" t="n">
        <f aca="false">'🖐🏾 Human'!I58</f>
        <v>0</v>
      </c>
      <c r="I718" s="129" t="n">
        <f aca="false">'🖐🏾 Human'!J58</f>
        <v>0</v>
      </c>
    </row>
    <row r="719" customFormat="false" ht="15.75" hidden="false" customHeight="false" outlineLevel="0" collapsed="false">
      <c r="A719" s="128" t="n">
        <f aca="false">'🖐🏾 Human'!$A$57</f>
        <v>0</v>
      </c>
      <c r="B719" s="4" t="s">
        <v>15</v>
      </c>
      <c r="C719" s="129" t="n">
        <f aca="false">'🖐🏾 Human'!C59</f>
        <v>0</v>
      </c>
      <c r="D719" s="163" t="n">
        <f aca="false">'🖐🏾 Human'!E59</f>
        <v>0</v>
      </c>
      <c r="E719" s="129" t="n">
        <f aca="false">'🖐🏾 Human'!F59</f>
        <v>0</v>
      </c>
      <c r="F719" s="129" t="n">
        <f aca="false">'🖐🏾 Human'!G59</f>
        <v>0</v>
      </c>
      <c r="G719" s="129" t="n">
        <f aca="false">'🖐🏾 Human'!H59</f>
        <v>0</v>
      </c>
      <c r="H719" s="129" t="n">
        <f aca="false">'🖐🏾 Human'!I59</f>
        <v>0</v>
      </c>
      <c r="I719" s="129" t="n">
        <f aca="false">'🖐🏾 Human'!J59</f>
        <v>0</v>
      </c>
    </row>
    <row r="720" customFormat="false" ht="15.75" hidden="false" customHeight="false" outlineLevel="0" collapsed="false">
      <c r="A720" s="128" t="n">
        <f aca="false">'🖐🏾 Human'!$A$57</f>
        <v>0</v>
      </c>
      <c r="B720" s="4" t="s">
        <v>15</v>
      </c>
      <c r="C720" s="129" t="n">
        <f aca="false">'🖐🏾 Human'!C60</f>
        <v>0</v>
      </c>
      <c r="D720" s="163" t="n">
        <f aca="false">'🖐🏾 Human'!E60</f>
        <v>0</v>
      </c>
      <c r="E720" s="129" t="n">
        <f aca="false">'🖐🏾 Human'!F60</f>
        <v>0</v>
      </c>
      <c r="F720" s="129" t="n">
        <f aca="false">'🖐🏾 Human'!G60</f>
        <v>0</v>
      </c>
      <c r="G720" s="129" t="n">
        <f aca="false">'🖐🏾 Human'!H60</f>
        <v>0</v>
      </c>
      <c r="H720" s="129" t="n">
        <f aca="false">'🖐🏾 Human'!I60</f>
        <v>0</v>
      </c>
      <c r="I720" s="129" t="n">
        <f aca="false">'🖐🏾 Human'!J60</f>
        <v>0</v>
      </c>
    </row>
    <row r="721" customFormat="false" ht="15.75" hidden="false" customHeight="false" outlineLevel="0" collapsed="false">
      <c r="A721" s="128"/>
      <c r="B721" s="4"/>
      <c r="C721" s="6"/>
      <c r="D721" s="163"/>
      <c r="E721" s="6"/>
      <c r="F721" s="6"/>
      <c r="G721" s="6"/>
      <c r="H721" s="6"/>
      <c r="I721" s="6"/>
    </row>
    <row r="722" customFormat="false" ht="15.75" hidden="false" customHeight="false" outlineLevel="0" collapsed="false">
      <c r="A722" s="128" t="n">
        <f aca="false">'🖐🏾 Human'!$A$62</f>
        <v>0</v>
      </c>
      <c r="B722" s="4" t="s">
        <v>15</v>
      </c>
      <c r="C722" s="129" t="n">
        <f aca="false">'🖐🏾 Human'!C62</f>
        <v>0</v>
      </c>
      <c r="D722" s="163" t="n">
        <f aca="false">'🖐🏾 Human'!E62</f>
        <v>0</v>
      </c>
      <c r="E722" s="129" t="n">
        <f aca="false">'🖐🏾 Human'!F62</f>
        <v>0</v>
      </c>
      <c r="F722" s="129" t="n">
        <f aca="false">'🖐🏾 Human'!G62</f>
        <v>0</v>
      </c>
      <c r="G722" s="129" t="n">
        <f aca="false">'🖐🏾 Human'!H62</f>
        <v>0</v>
      </c>
      <c r="H722" s="129" t="n">
        <f aca="false">'🖐🏾 Human'!I62</f>
        <v>0</v>
      </c>
      <c r="I722" s="129" t="n">
        <f aca="false">'🖐🏾 Human'!J62</f>
        <v>0</v>
      </c>
    </row>
    <row r="723" customFormat="false" ht="15.75" hidden="false" customHeight="false" outlineLevel="0" collapsed="false">
      <c r="A723" s="128" t="n">
        <f aca="false">'🖐🏾 Human'!$A$62</f>
        <v>0</v>
      </c>
      <c r="B723" s="4" t="s">
        <v>15</v>
      </c>
      <c r="C723" s="129" t="n">
        <f aca="false">'🖐🏾 Human'!C63</f>
        <v>0</v>
      </c>
      <c r="D723" s="163" t="n">
        <f aca="false">'🖐🏾 Human'!E63</f>
        <v>0</v>
      </c>
      <c r="E723" s="129" t="n">
        <f aca="false">'🖐🏾 Human'!F63</f>
        <v>0</v>
      </c>
      <c r="F723" s="129" t="n">
        <f aca="false">'🖐🏾 Human'!G63</f>
        <v>0</v>
      </c>
      <c r="G723" s="129" t="n">
        <f aca="false">'🖐🏾 Human'!H63</f>
        <v>0</v>
      </c>
      <c r="H723" s="129" t="n">
        <f aca="false">'🖐🏾 Human'!I63</f>
        <v>0</v>
      </c>
      <c r="I723" s="129" t="n">
        <f aca="false">'🖐🏾 Human'!J63</f>
        <v>0</v>
      </c>
    </row>
    <row r="724" customFormat="false" ht="15.75" hidden="false" customHeight="false" outlineLevel="0" collapsed="false">
      <c r="A724" s="128" t="n">
        <f aca="false">'🖐🏾 Human'!$A$62</f>
        <v>0</v>
      </c>
      <c r="B724" s="4" t="s">
        <v>15</v>
      </c>
      <c r="C724" s="129" t="n">
        <f aca="false">'🖐🏾 Human'!C64</f>
        <v>0</v>
      </c>
      <c r="D724" s="163" t="n">
        <f aca="false">'🖐🏾 Human'!E64</f>
        <v>0</v>
      </c>
      <c r="E724" s="129" t="n">
        <f aca="false">'🖐🏾 Human'!F64</f>
        <v>0</v>
      </c>
      <c r="F724" s="129" t="n">
        <f aca="false">'🖐🏾 Human'!G64</f>
        <v>0</v>
      </c>
      <c r="G724" s="129" t="n">
        <f aca="false">'🖐🏾 Human'!H64</f>
        <v>0</v>
      </c>
      <c r="H724" s="129" t="n">
        <f aca="false">'🖐🏾 Human'!I64</f>
        <v>0</v>
      </c>
      <c r="I724" s="129" t="n">
        <f aca="false">'🖐🏾 Human'!J64</f>
        <v>0</v>
      </c>
    </row>
    <row r="725" customFormat="false" ht="15.75" hidden="false" customHeight="false" outlineLevel="0" collapsed="false">
      <c r="A725" s="128" t="n">
        <f aca="false">'🖐🏾 Human'!$A$62</f>
        <v>0</v>
      </c>
      <c r="B725" s="4" t="s">
        <v>15</v>
      </c>
      <c r="C725" s="129" t="n">
        <f aca="false">'🖐🏾 Human'!C65</f>
        <v>0</v>
      </c>
      <c r="D725" s="163" t="n">
        <f aca="false">'🖐🏾 Human'!E65</f>
        <v>0</v>
      </c>
      <c r="E725" s="129" t="n">
        <f aca="false">'🖐🏾 Human'!F65</f>
        <v>0</v>
      </c>
      <c r="F725" s="129" t="n">
        <f aca="false">'🖐🏾 Human'!G65</f>
        <v>0</v>
      </c>
      <c r="G725" s="129" t="n">
        <f aca="false">'🖐🏾 Human'!H65</f>
        <v>0</v>
      </c>
      <c r="H725" s="129" t="n">
        <f aca="false">'🖐🏾 Human'!I65</f>
        <v>0</v>
      </c>
      <c r="I725" s="129" t="n">
        <f aca="false">'🖐🏾 Human'!J65</f>
        <v>0</v>
      </c>
    </row>
    <row r="726" customFormat="false" ht="15.75" hidden="false" customHeight="false" outlineLevel="0" collapsed="false">
      <c r="A726" s="128"/>
      <c r="B726" s="4"/>
      <c r="C726" s="6"/>
      <c r="D726" s="163"/>
      <c r="E726" s="6"/>
      <c r="F726" s="6"/>
      <c r="G726" s="6"/>
      <c r="H726" s="6"/>
      <c r="I726" s="6"/>
    </row>
    <row r="727" customFormat="false" ht="15.75" hidden="false" customHeight="false" outlineLevel="0" collapsed="false">
      <c r="A727" s="128" t="n">
        <f aca="false">'🖐🏾 Human'!$A$67</f>
        <v>0</v>
      </c>
      <c r="B727" s="4" t="s">
        <v>15</v>
      </c>
      <c r="C727" s="129" t="n">
        <f aca="false">'🖐🏾 Human'!C67</f>
        <v>0</v>
      </c>
      <c r="D727" s="163" t="n">
        <f aca="false">'🖐🏾 Human'!E67</f>
        <v>0</v>
      </c>
      <c r="E727" s="129" t="n">
        <f aca="false">'🖐🏾 Human'!F67</f>
        <v>0</v>
      </c>
      <c r="F727" s="129" t="n">
        <f aca="false">'🖐🏾 Human'!G67</f>
        <v>0</v>
      </c>
      <c r="G727" s="129" t="n">
        <f aca="false">'🖐🏾 Human'!H67</f>
        <v>0</v>
      </c>
      <c r="H727" s="129" t="n">
        <f aca="false">'🖐🏾 Human'!I67</f>
        <v>0</v>
      </c>
      <c r="I727" s="129" t="n">
        <f aca="false">'🖐🏾 Human'!J67</f>
        <v>0</v>
      </c>
    </row>
    <row r="728" customFormat="false" ht="15.75" hidden="false" customHeight="false" outlineLevel="0" collapsed="false">
      <c r="A728" s="128" t="n">
        <f aca="false">'🖐🏾 Human'!$A$67</f>
        <v>0</v>
      </c>
      <c r="B728" s="4" t="s">
        <v>15</v>
      </c>
      <c r="C728" s="129" t="n">
        <f aca="false">'🖐🏾 Human'!C68</f>
        <v>0</v>
      </c>
      <c r="D728" s="163" t="n">
        <f aca="false">'🖐🏾 Human'!E68</f>
        <v>0</v>
      </c>
      <c r="E728" s="129" t="n">
        <f aca="false">'🖐🏾 Human'!F68</f>
        <v>0</v>
      </c>
      <c r="F728" s="129" t="n">
        <f aca="false">'🖐🏾 Human'!G68</f>
        <v>0</v>
      </c>
      <c r="G728" s="129" t="n">
        <f aca="false">'🖐🏾 Human'!H68</f>
        <v>0</v>
      </c>
      <c r="H728" s="129" t="n">
        <f aca="false">'🖐🏾 Human'!I68</f>
        <v>0</v>
      </c>
      <c r="I728" s="129" t="n">
        <f aca="false">'🖐🏾 Human'!J68</f>
        <v>0</v>
      </c>
    </row>
    <row r="729" customFormat="false" ht="15.75" hidden="false" customHeight="false" outlineLevel="0" collapsed="false">
      <c r="A729" s="128" t="n">
        <f aca="false">'🖐🏾 Human'!$A$67</f>
        <v>0</v>
      </c>
      <c r="B729" s="4" t="s">
        <v>15</v>
      </c>
      <c r="C729" s="129" t="n">
        <f aca="false">'🖐🏾 Human'!C69</f>
        <v>0</v>
      </c>
      <c r="D729" s="163" t="n">
        <f aca="false">'🖐🏾 Human'!E69</f>
        <v>0</v>
      </c>
      <c r="E729" s="129" t="n">
        <f aca="false">'🖐🏾 Human'!F69</f>
        <v>0</v>
      </c>
      <c r="F729" s="129" t="n">
        <f aca="false">'🖐🏾 Human'!G69</f>
        <v>0</v>
      </c>
      <c r="G729" s="129" t="n">
        <f aca="false">'🖐🏾 Human'!H69</f>
        <v>0</v>
      </c>
      <c r="H729" s="129" t="n">
        <f aca="false">'🖐🏾 Human'!I69</f>
        <v>0</v>
      </c>
      <c r="I729" s="129" t="n">
        <f aca="false">'🖐🏾 Human'!J69</f>
        <v>0</v>
      </c>
    </row>
    <row r="730" customFormat="false" ht="15.75" hidden="false" customHeight="false" outlineLevel="0" collapsed="false">
      <c r="A730" s="128" t="n">
        <f aca="false">'🖐🏾 Human'!$A$67</f>
        <v>0</v>
      </c>
      <c r="B730" s="4" t="s">
        <v>15</v>
      </c>
      <c r="C730" s="129" t="n">
        <f aca="false">'🖐🏾 Human'!C70</f>
        <v>0</v>
      </c>
      <c r="D730" s="163" t="n">
        <f aca="false">'🖐🏾 Human'!E70</f>
        <v>0</v>
      </c>
      <c r="E730" s="129" t="n">
        <f aca="false">'🖐🏾 Human'!F70</f>
        <v>0</v>
      </c>
      <c r="F730" s="129" t="n">
        <f aca="false">'🖐🏾 Human'!G70</f>
        <v>0</v>
      </c>
      <c r="G730" s="129" t="n">
        <f aca="false">'🖐🏾 Human'!H70</f>
        <v>0</v>
      </c>
      <c r="H730" s="129" t="n">
        <f aca="false">'🖐🏾 Human'!I70</f>
        <v>0</v>
      </c>
      <c r="I730" s="129" t="n">
        <f aca="false">'🖐🏾 Human'!J70</f>
        <v>0</v>
      </c>
    </row>
    <row r="731" customFormat="false" ht="15.75" hidden="false" customHeight="false" outlineLevel="0" collapsed="false">
      <c r="A731" s="128"/>
      <c r="B731" s="4"/>
      <c r="C731" s="6"/>
      <c r="D731" s="163"/>
      <c r="E731" s="6"/>
      <c r="F731" s="6"/>
      <c r="G731" s="6"/>
      <c r="H731" s="6"/>
      <c r="I731" s="6"/>
    </row>
    <row r="732" customFormat="false" ht="15.75" hidden="false" customHeight="false" outlineLevel="0" collapsed="false">
      <c r="A732" s="128" t="n">
        <f aca="false">'🖐🏾 Human'!$A$72</f>
        <v>0</v>
      </c>
      <c r="B732" s="4" t="s">
        <v>15</v>
      </c>
      <c r="C732" s="129" t="n">
        <f aca="false">'🖐🏾 Human'!C72</f>
        <v>0</v>
      </c>
      <c r="D732" s="163" t="n">
        <f aca="false">'🖐🏾 Human'!E72</f>
        <v>0</v>
      </c>
      <c r="E732" s="129" t="n">
        <f aca="false">'🖐🏾 Human'!F72</f>
        <v>0</v>
      </c>
      <c r="F732" s="129" t="n">
        <f aca="false">'🖐🏾 Human'!G72</f>
        <v>0</v>
      </c>
      <c r="G732" s="129" t="n">
        <f aca="false">'🖐🏾 Human'!H72</f>
        <v>0</v>
      </c>
      <c r="H732" s="129" t="n">
        <f aca="false">'🖐🏾 Human'!I72</f>
        <v>0</v>
      </c>
      <c r="I732" s="129" t="n">
        <f aca="false">'🖐🏾 Human'!J72</f>
        <v>0</v>
      </c>
    </row>
    <row r="733" customFormat="false" ht="15.75" hidden="false" customHeight="false" outlineLevel="0" collapsed="false">
      <c r="A733" s="128" t="n">
        <f aca="false">'🖐🏾 Human'!$A$72</f>
        <v>0</v>
      </c>
      <c r="B733" s="4" t="s">
        <v>15</v>
      </c>
      <c r="C733" s="129" t="n">
        <f aca="false">'🖐🏾 Human'!C73</f>
        <v>0</v>
      </c>
      <c r="D733" s="163" t="n">
        <f aca="false">'🖐🏾 Human'!E73</f>
        <v>0</v>
      </c>
      <c r="E733" s="129" t="n">
        <f aca="false">'🖐🏾 Human'!F73</f>
        <v>0</v>
      </c>
      <c r="F733" s="129" t="n">
        <f aca="false">'🖐🏾 Human'!G73</f>
        <v>0</v>
      </c>
      <c r="G733" s="129" t="n">
        <f aca="false">'🖐🏾 Human'!H73</f>
        <v>0</v>
      </c>
      <c r="H733" s="129" t="n">
        <f aca="false">'🖐🏾 Human'!I73</f>
        <v>0</v>
      </c>
      <c r="I733" s="129" t="n">
        <f aca="false">'🖐🏾 Human'!J73</f>
        <v>0</v>
      </c>
    </row>
    <row r="734" customFormat="false" ht="15.75" hidden="false" customHeight="false" outlineLevel="0" collapsed="false">
      <c r="A734" s="128" t="n">
        <f aca="false">'🖐🏾 Human'!$A$72</f>
        <v>0</v>
      </c>
      <c r="B734" s="4" t="s">
        <v>15</v>
      </c>
      <c r="C734" s="129" t="n">
        <f aca="false">'🖐🏾 Human'!C74</f>
        <v>0</v>
      </c>
      <c r="D734" s="163" t="n">
        <f aca="false">'🖐🏾 Human'!E74</f>
        <v>0</v>
      </c>
      <c r="E734" s="129" t="n">
        <f aca="false">'🖐🏾 Human'!F74</f>
        <v>0</v>
      </c>
      <c r="F734" s="129" t="n">
        <f aca="false">'🖐🏾 Human'!G74</f>
        <v>0</v>
      </c>
      <c r="G734" s="129" t="n">
        <f aca="false">'🖐🏾 Human'!H74</f>
        <v>0</v>
      </c>
      <c r="H734" s="129" t="n">
        <f aca="false">'🖐🏾 Human'!I74</f>
        <v>0</v>
      </c>
      <c r="I734" s="129" t="n">
        <f aca="false">'🖐🏾 Human'!J74</f>
        <v>0</v>
      </c>
    </row>
    <row r="735" customFormat="false" ht="15.75" hidden="false" customHeight="false" outlineLevel="0" collapsed="false">
      <c r="A735" s="128" t="n">
        <f aca="false">'🖐🏾 Human'!$A$72</f>
        <v>0</v>
      </c>
      <c r="B735" s="4" t="s">
        <v>15</v>
      </c>
      <c r="C735" s="129" t="n">
        <f aca="false">'🖐🏾 Human'!C75</f>
        <v>0</v>
      </c>
      <c r="D735" s="163" t="n">
        <f aca="false">'🖐🏾 Human'!E75</f>
        <v>0</v>
      </c>
      <c r="E735" s="129" t="n">
        <f aca="false">'🖐🏾 Human'!F75</f>
        <v>0</v>
      </c>
      <c r="F735" s="129" t="n">
        <f aca="false">'🖐🏾 Human'!G75</f>
        <v>0</v>
      </c>
      <c r="G735" s="129" t="n">
        <f aca="false">'🖐🏾 Human'!H75</f>
        <v>0</v>
      </c>
      <c r="H735" s="129" t="n">
        <f aca="false">'🖐🏾 Human'!I75</f>
        <v>0</v>
      </c>
      <c r="I735" s="129" t="n">
        <f aca="false">'🖐🏾 Human'!J75</f>
        <v>0</v>
      </c>
    </row>
    <row r="736" customFormat="false" ht="15.75" hidden="false" customHeight="false" outlineLevel="0" collapsed="false">
      <c r="A736" s="128"/>
      <c r="B736" s="4"/>
      <c r="C736" s="6"/>
      <c r="D736" s="163"/>
      <c r="E736" s="6"/>
      <c r="F736" s="6"/>
      <c r="G736" s="6"/>
      <c r="H736" s="6"/>
      <c r="I736" s="6"/>
    </row>
    <row r="737" customFormat="false" ht="15.75" hidden="false" customHeight="false" outlineLevel="0" collapsed="false">
      <c r="A737" s="128" t="n">
        <f aca="false">'🖐🏾 Human'!$A$77</f>
        <v>0</v>
      </c>
      <c r="B737" s="4" t="s">
        <v>15</v>
      </c>
      <c r="C737" s="129" t="n">
        <f aca="false">'🖐🏾 Human'!C77</f>
        <v>0</v>
      </c>
      <c r="D737" s="163" t="n">
        <f aca="false">'🖐🏾 Human'!E77</f>
        <v>0</v>
      </c>
      <c r="E737" s="129" t="n">
        <f aca="false">'🖐🏾 Human'!F77</f>
        <v>0</v>
      </c>
      <c r="F737" s="129" t="n">
        <f aca="false">'🖐🏾 Human'!G77</f>
        <v>0</v>
      </c>
      <c r="G737" s="129" t="n">
        <f aca="false">'🖐🏾 Human'!H77</f>
        <v>0</v>
      </c>
      <c r="H737" s="129" t="n">
        <f aca="false">'🖐🏾 Human'!I77</f>
        <v>0</v>
      </c>
      <c r="I737" s="129" t="n">
        <f aca="false">'🖐🏾 Human'!J77</f>
        <v>0</v>
      </c>
    </row>
    <row r="738" customFormat="false" ht="15.75" hidden="false" customHeight="false" outlineLevel="0" collapsed="false">
      <c r="A738" s="128" t="n">
        <f aca="false">'🖐🏾 Human'!$A$77</f>
        <v>0</v>
      </c>
      <c r="B738" s="4" t="s">
        <v>15</v>
      </c>
      <c r="C738" s="129" t="n">
        <f aca="false">'🖐🏾 Human'!C78</f>
        <v>0</v>
      </c>
      <c r="D738" s="163" t="n">
        <f aca="false">'🖐🏾 Human'!E78</f>
        <v>0</v>
      </c>
      <c r="E738" s="129" t="n">
        <f aca="false">'🖐🏾 Human'!F78</f>
        <v>0</v>
      </c>
      <c r="F738" s="129" t="n">
        <f aca="false">'🖐🏾 Human'!G78</f>
        <v>0</v>
      </c>
      <c r="G738" s="129" t="n">
        <f aca="false">'🖐🏾 Human'!H78</f>
        <v>0</v>
      </c>
      <c r="H738" s="129" t="n">
        <f aca="false">'🖐🏾 Human'!I78</f>
        <v>0</v>
      </c>
      <c r="I738" s="129" t="n">
        <f aca="false">'🖐🏾 Human'!J78</f>
        <v>0</v>
      </c>
    </row>
    <row r="739" customFormat="false" ht="15.75" hidden="false" customHeight="false" outlineLevel="0" collapsed="false">
      <c r="A739" s="128" t="n">
        <f aca="false">'🖐🏾 Human'!$A$77</f>
        <v>0</v>
      </c>
      <c r="B739" s="4" t="s">
        <v>15</v>
      </c>
      <c r="C739" s="129" t="n">
        <f aca="false">'🖐🏾 Human'!C79</f>
        <v>0</v>
      </c>
      <c r="D739" s="163" t="n">
        <f aca="false">'🖐🏾 Human'!E79</f>
        <v>0</v>
      </c>
      <c r="E739" s="129" t="n">
        <f aca="false">'🖐🏾 Human'!F79</f>
        <v>0</v>
      </c>
      <c r="F739" s="129" t="n">
        <f aca="false">'🖐🏾 Human'!G79</f>
        <v>0</v>
      </c>
      <c r="G739" s="129" t="n">
        <f aca="false">'🖐🏾 Human'!H79</f>
        <v>0</v>
      </c>
      <c r="H739" s="129" t="n">
        <f aca="false">'🖐🏾 Human'!I79</f>
        <v>0</v>
      </c>
      <c r="I739" s="129" t="n">
        <f aca="false">'🖐🏾 Human'!J79</f>
        <v>0</v>
      </c>
    </row>
    <row r="740" customFormat="false" ht="15.75" hidden="false" customHeight="false" outlineLevel="0" collapsed="false">
      <c r="A740" s="128" t="n">
        <f aca="false">'🖐🏾 Human'!$A$77</f>
        <v>0</v>
      </c>
      <c r="B740" s="4" t="s">
        <v>15</v>
      </c>
      <c r="C740" s="129" t="n">
        <f aca="false">'🖐🏾 Human'!C80</f>
        <v>0</v>
      </c>
      <c r="D740" s="163" t="n">
        <f aca="false">'🖐🏾 Human'!E80</f>
        <v>0</v>
      </c>
      <c r="E740" s="129" t="n">
        <f aca="false">'🖐🏾 Human'!F80</f>
        <v>0</v>
      </c>
      <c r="F740" s="129" t="n">
        <f aca="false">'🖐🏾 Human'!G80</f>
        <v>0</v>
      </c>
      <c r="G740" s="129" t="n">
        <f aca="false">'🖐🏾 Human'!H80</f>
        <v>0</v>
      </c>
      <c r="H740" s="129" t="n">
        <f aca="false">'🖐🏾 Human'!I80</f>
        <v>0</v>
      </c>
      <c r="I740" s="129" t="n">
        <f aca="false">'🖐🏾 Human'!J80</f>
        <v>0</v>
      </c>
    </row>
    <row r="741" customFormat="false" ht="15.75" hidden="false" customHeight="false" outlineLevel="0" collapsed="false">
      <c r="A741" s="128"/>
      <c r="B741" s="4"/>
      <c r="C741" s="6"/>
      <c r="D741" s="163"/>
      <c r="E741" s="6"/>
      <c r="F741" s="6"/>
      <c r="G741" s="6"/>
      <c r="H741" s="6"/>
      <c r="I741" s="6"/>
    </row>
    <row r="742" customFormat="false" ht="15.75" hidden="false" customHeight="false" outlineLevel="0" collapsed="false">
      <c r="A742" s="128" t="n">
        <f aca="false">'🖐🏾 Human'!$A$82</f>
        <v>0</v>
      </c>
      <c r="B742" s="4" t="s">
        <v>15</v>
      </c>
      <c r="C742" s="129" t="n">
        <f aca="false">'🖐🏾 Human'!C82</f>
        <v>0</v>
      </c>
      <c r="D742" s="163" t="n">
        <f aca="false">'🖐🏾 Human'!E82</f>
        <v>0</v>
      </c>
      <c r="E742" s="129" t="n">
        <f aca="false">'🖐🏾 Human'!F82</f>
        <v>0</v>
      </c>
      <c r="F742" s="129" t="n">
        <f aca="false">'🖐🏾 Human'!G82</f>
        <v>0</v>
      </c>
      <c r="G742" s="129" t="n">
        <f aca="false">'🖐🏾 Human'!H82</f>
        <v>0</v>
      </c>
      <c r="H742" s="129" t="n">
        <f aca="false">'🖐🏾 Human'!I82</f>
        <v>0</v>
      </c>
      <c r="I742" s="129" t="n">
        <f aca="false">'🖐🏾 Human'!J82</f>
        <v>0</v>
      </c>
    </row>
    <row r="743" customFormat="false" ht="15.75" hidden="false" customHeight="false" outlineLevel="0" collapsed="false">
      <c r="A743" s="128" t="n">
        <f aca="false">'🖐🏾 Human'!$A$82</f>
        <v>0</v>
      </c>
      <c r="B743" s="4" t="s">
        <v>15</v>
      </c>
      <c r="C743" s="129" t="n">
        <f aca="false">'🖐🏾 Human'!C83</f>
        <v>0</v>
      </c>
      <c r="D743" s="163" t="n">
        <f aca="false">'🖐🏾 Human'!E83</f>
        <v>0</v>
      </c>
      <c r="E743" s="129" t="n">
        <f aca="false">'🖐🏾 Human'!F83</f>
        <v>0</v>
      </c>
      <c r="F743" s="129" t="n">
        <f aca="false">'🖐🏾 Human'!G83</f>
        <v>0</v>
      </c>
      <c r="G743" s="129" t="n">
        <f aca="false">'🖐🏾 Human'!H83</f>
        <v>0</v>
      </c>
      <c r="H743" s="129" t="n">
        <f aca="false">'🖐🏾 Human'!I83</f>
        <v>0</v>
      </c>
      <c r="I743" s="129" t="n">
        <f aca="false">'🖐🏾 Human'!J83</f>
        <v>0</v>
      </c>
    </row>
    <row r="744" customFormat="false" ht="15.75" hidden="false" customHeight="false" outlineLevel="0" collapsed="false">
      <c r="A744" s="128" t="n">
        <f aca="false">'🖐🏾 Human'!$A$82</f>
        <v>0</v>
      </c>
      <c r="B744" s="4" t="s">
        <v>15</v>
      </c>
      <c r="C744" s="129" t="n">
        <f aca="false">'🖐🏾 Human'!C84</f>
        <v>0</v>
      </c>
      <c r="D744" s="163" t="n">
        <f aca="false">'🖐🏾 Human'!E84</f>
        <v>0</v>
      </c>
      <c r="E744" s="129" t="n">
        <f aca="false">'🖐🏾 Human'!F84</f>
        <v>0</v>
      </c>
      <c r="F744" s="129" t="n">
        <f aca="false">'🖐🏾 Human'!G84</f>
        <v>0</v>
      </c>
      <c r="G744" s="129" t="n">
        <f aca="false">'🖐🏾 Human'!H84</f>
        <v>0</v>
      </c>
      <c r="H744" s="129" t="n">
        <f aca="false">'🖐🏾 Human'!I84</f>
        <v>0</v>
      </c>
      <c r="I744" s="129" t="n">
        <f aca="false">'🖐🏾 Human'!J84</f>
        <v>0</v>
      </c>
    </row>
    <row r="745" customFormat="false" ht="15.75" hidden="false" customHeight="false" outlineLevel="0" collapsed="false">
      <c r="A745" s="128" t="n">
        <f aca="false">'🖐🏾 Human'!$A$82</f>
        <v>0</v>
      </c>
      <c r="B745" s="4" t="s">
        <v>15</v>
      </c>
      <c r="C745" s="129" t="n">
        <f aca="false">'🖐🏾 Human'!C85</f>
        <v>0</v>
      </c>
      <c r="D745" s="163" t="n">
        <f aca="false">'🖐🏾 Human'!E85</f>
        <v>0</v>
      </c>
      <c r="E745" s="129" t="n">
        <f aca="false">'🖐🏾 Human'!F85</f>
        <v>0</v>
      </c>
      <c r="F745" s="129" t="n">
        <f aca="false">'🖐🏾 Human'!G85</f>
        <v>0</v>
      </c>
      <c r="G745" s="129" t="n">
        <f aca="false">'🖐🏾 Human'!H85</f>
        <v>0</v>
      </c>
      <c r="H745" s="129" t="n">
        <f aca="false">'🖐🏾 Human'!I85</f>
        <v>0</v>
      </c>
      <c r="I745" s="129" t="n">
        <f aca="false">'🖐🏾 Human'!J85</f>
        <v>0</v>
      </c>
    </row>
    <row r="746" customFormat="false" ht="15.75" hidden="false" customHeight="false" outlineLevel="0" collapsed="false">
      <c r="A746" s="128"/>
      <c r="B746" s="4"/>
      <c r="C746" s="6"/>
      <c r="D746" s="163"/>
      <c r="E746" s="6"/>
      <c r="F746" s="6"/>
      <c r="G746" s="6"/>
      <c r="H746" s="6"/>
      <c r="I746" s="6"/>
    </row>
    <row r="747" customFormat="false" ht="15.75" hidden="false" customHeight="false" outlineLevel="0" collapsed="false">
      <c r="A747" s="128" t="n">
        <f aca="false">'🖐🏾 Human'!$A$87</f>
        <v>0</v>
      </c>
      <c r="B747" s="4" t="s">
        <v>15</v>
      </c>
      <c r="C747" s="129" t="n">
        <f aca="false">'🖐🏾 Human'!C87</f>
        <v>0</v>
      </c>
      <c r="D747" s="163" t="n">
        <f aca="false">'🖐🏾 Human'!E87</f>
        <v>0</v>
      </c>
      <c r="E747" s="129" t="n">
        <f aca="false">'🖐🏾 Human'!F87</f>
        <v>0</v>
      </c>
      <c r="F747" s="129" t="n">
        <f aca="false">'🖐🏾 Human'!G87</f>
        <v>0</v>
      </c>
      <c r="G747" s="129" t="n">
        <f aca="false">'🖐🏾 Human'!H87</f>
        <v>0</v>
      </c>
      <c r="H747" s="129" t="n">
        <f aca="false">'🖐🏾 Human'!I87</f>
        <v>0</v>
      </c>
      <c r="I747" s="129" t="n">
        <f aca="false">'🖐🏾 Human'!J87</f>
        <v>0</v>
      </c>
    </row>
    <row r="748" customFormat="false" ht="15.75" hidden="false" customHeight="false" outlineLevel="0" collapsed="false">
      <c r="A748" s="128" t="n">
        <f aca="false">'🖐🏾 Human'!$A$87</f>
        <v>0</v>
      </c>
      <c r="B748" s="4" t="s">
        <v>15</v>
      </c>
      <c r="C748" s="129" t="n">
        <f aca="false">'🖐🏾 Human'!C88</f>
        <v>0</v>
      </c>
      <c r="D748" s="163" t="n">
        <f aca="false">'🖐🏾 Human'!E88</f>
        <v>0</v>
      </c>
      <c r="E748" s="129" t="n">
        <f aca="false">'🖐🏾 Human'!F88</f>
        <v>0</v>
      </c>
      <c r="F748" s="129" t="n">
        <f aca="false">'🖐🏾 Human'!G88</f>
        <v>0</v>
      </c>
      <c r="G748" s="129" t="n">
        <f aca="false">'🖐🏾 Human'!H88</f>
        <v>0</v>
      </c>
      <c r="H748" s="129" t="n">
        <f aca="false">'🖐🏾 Human'!I88</f>
        <v>0</v>
      </c>
      <c r="I748" s="129" t="n">
        <f aca="false">'🖐🏾 Human'!J88</f>
        <v>0</v>
      </c>
    </row>
    <row r="749" customFormat="false" ht="15.75" hidden="false" customHeight="false" outlineLevel="0" collapsed="false">
      <c r="A749" s="128" t="n">
        <f aca="false">'🖐🏾 Human'!$A$87</f>
        <v>0</v>
      </c>
      <c r="B749" s="4" t="s">
        <v>15</v>
      </c>
      <c r="C749" s="129" t="n">
        <f aca="false">'🖐🏾 Human'!C89</f>
        <v>0</v>
      </c>
      <c r="D749" s="163" t="n">
        <f aca="false">'🖐🏾 Human'!E89</f>
        <v>0</v>
      </c>
      <c r="E749" s="129" t="n">
        <f aca="false">'🖐🏾 Human'!F89</f>
        <v>0</v>
      </c>
      <c r="F749" s="129" t="n">
        <f aca="false">'🖐🏾 Human'!G89</f>
        <v>0</v>
      </c>
      <c r="G749" s="129" t="n">
        <f aca="false">'🖐🏾 Human'!H89</f>
        <v>0</v>
      </c>
      <c r="H749" s="129" t="n">
        <f aca="false">'🖐🏾 Human'!I89</f>
        <v>0</v>
      </c>
      <c r="I749" s="129" t="n">
        <f aca="false">'🖐🏾 Human'!J89</f>
        <v>0</v>
      </c>
    </row>
    <row r="750" customFormat="false" ht="15.75" hidden="false" customHeight="false" outlineLevel="0" collapsed="false">
      <c r="A750" s="128" t="n">
        <f aca="false">'🖐🏾 Human'!$A$87</f>
        <v>0</v>
      </c>
      <c r="B750" s="4" t="s">
        <v>15</v>
      </c>
      <c r="C750" s="129" t="n">
        <f aca="false">'🖐🏾 Human'!C90</f>
        <v>0</v>
      </c>
      <c r="D750" s="163" t="n">
        <f aca="false">'🖐🏾 Human'!E90</f>
        <v>0</v>
      </c>
      <c r="E750" s="129" t="n">
        <f aca="false">'🖐🏾 Human'!F90</f>
        <v>0</v>
      </c>
      <c r="F750" s="129" t="n">
        <f aca="false">'🖐🏾 Human'!G90</f>
        <v>0</v>
      </c>
      <c r="G750" s="129" t="n">
        <f aca="false">'🖐🏾 Human'!H90</f>
        <v>0</v>
      </c>
      <c r="H750" s="129" t="n">
        <f aca="false">'🖐🏾 Human'!I90</f>
        <v>0</v>
      </c>
      <c r="I750" s="129" t="n">
        <f aca="false">'🖐🏾 Human'!J90</f>
        <v>0</v>
      </c>
    </row>
    <row r="751" customFormat="false" ht="15.75" hidden="false" customHeight="false" outlineLevel="0" collapsed="false">
      <c r="A751" s="128"/>
      <c r="B751" s="4"/>
      <c r="C751" s="6"/>
      <c r="D751" s="163"/>
      <c r="E751" s="6"/>
      <c r="F751" s="6"/>
      <c r="G751" s="6"/>
      <c r="H751" s="6"/>
      <c r="I751" s="6"/>
    </row>
    <row r="752" customFormat="false" ht="15.75" hidden="false" customHeight="false" outlineLevel="0" collapsed="false">
      <c r="A752" s="128" t="n">
        <f aca="false">'🖐🏾 Human'!$A$92</f>
        <v>0</v>
      </c>
      <c r="B752" s="4" t="s">
        <v>15</v>
      </c>
      <c r="C752" s="129" t="n">
        <f aca="false">'🖐🏾 Human'!C92</f>
        <v>0</v>
      </c>
      <c r="D752" s="163" t="n">
        <f aca="false">'🖐🏾 Human'!E92</f>
        <v>0</v>
      </c>
      <c r="E752" s="129" t="n">
        <f aca="false">'🖐🏾 Human'!F92</f>
        <v>0</v>
      </c>
      <c r="F752" s="129" t="n">
        <f aca="false">'🖐🏾 Human'!G92</f>
        <v>0</v>
      </c>
      <c r="G752" s="129" t="n">
        <f aca="false">'🖐🏾 Human'!H92</f>
        <v>0</v>
      </c>
      <c r="H752" s="129" t="n">
        <f aca="false">'🖐🏾 Human'!I92</f>
        <v>0</v>
      </c>
      <c r="I752" s="129" t="n">
        <f aca="false">'🖐🏾 Human'!J92</f>
        <v>0</v>
      </c>
    </row>
    <row r="753" customFormat="false" ht="15.75" hidden="false" customHeight="false" outlineLevel="0" collapsed="false">
      <c r="A753" s="128" t="n">
        <f aca="false">'🖐🏾 Human'!$A$92</f>
        <v>0</v>
      </c>
      <c r="B753" s="4" t="s">
        <v>15</v>
      </c>
      <c r="C753" s="129" t="n">
        <f aca="false">'🖐🏾 Human'!C93</f>
        <v>0</v>
      </c>
      <c r="D753" s="163" t="n">
        <f aca="false">'🖐🏾 Human'!E93</f>
        <v>0</v>
      </c>
      <c r="E753" s="129" t="n">
        <f aca="false">'🖐🏾 Human'!F93</f>
        <v>0</v>
      </c>
      <c r="F753" s="129" t="n">
        <f aca="false">'🖐🏾 Human'!G93</f>
        <v>0</v>
      </c>
      <c r="G753" s="129" t="n">
        <f aca="false">'🖐🏾 Human'!H93</f>
        <v>0</v>
      </c>
      <c r="H753" s="129" t="n">
        <f aca="false">'🖐🏾 Human'!I93</f>
        <v>0</v>
      </c>
      <c r="I753" s="129" t="n">
        <f aca="false">'🖐🏾 Human'!J93</f>
        <v>0</v>
      </c>
    </row>
    <row r="754" customFormat="false" ht="15.75" hidden="false" customHeight="false" outlineLevel="0" collapsed="false">
      <c r="A754" s="128" t="n">
        <f aca="false">'🖐🏾 Human'!$A$92</f>
        <v>0</v>
      </c>
      <c r="B754" s="4" t="s">
        <v>15</v>
      </c>
      <c r="C754" s="129" t="n">
        <f aca="false">'🖐🏾 Human'!C94</f>
        <v>0</v>
      </c>
      <c r="D754" s="163" t="n">
        <f aca="false">'🖐🏾 Human'!E94</f>
        <v>0</v>
      </c>
      <c r="E754" s="129" t="n">
        <f aca="false">'🖐🏾 Human'!F94</f>
        <v>0</v>
      </c>
      <c r="F754" s="129" t="n">
        <f aca="false">'🖐🏾 Human'!G94</f>
        <v>0</v>
      </c>
      <c r="G754" s="129" t="n">
        <f aca="false">'🖐🏾 Human'!H94</f>
        <v>0</v>
      </c>
      <c r="H754" s="129" t="n">
        <f aca="false">'🖐🏾 Human'!I94</f>
        <v>0</v>
      </c>
      <c r="I754" s="129" t="n">
        <f aca="false">'🖐🏾 Human'!J94</f>
        <v>0</v>
      </c>
    </row>
    <row r="755" customFormat="false" ht="15.75" hidden="false" customHeight="false" outlineLevel="0" collapsed="false">
      <c r="A755" s="128" t="n">
        <f aca="false">'🖐🏾 Human'!$A$92</f>
        <v>0</v>
      </c>
      <c r="B755" s="4" t="s">
        <v>15</v>
      </c>
      <c r="C755" s="129" t="n">
        <f aca="false">'🖐🏾 Human'!C95</f>
        <v>0</v>
      </c>
      <c r="D755" s="163" t="n">
        <f aca="false">'🖐🏾 Human'!E95</f>
        <v>0</v>
      </c>
      <c r="E755" s="129" t="n">
        <f aca="false">'🖐🏾 Human'!F95</f>
        <v>0</v>
      </c>
      <c r="F755" s="129" t="n">
        <f aca="false">'🖐🏾 Human'!G95</f>
        <v>0</v>
      </c>
      <c r="G755" s="129" t="n">
        <f aca="false">'🖐🏾 Human'!H95</f>
        <v>0</v>
      </c>
      <c r="H755" s="129" t="n">
        <f aca="false">'🖐🏾 Human'!I95</f>
        <v>0</v>
      </c>
      <c r="I755" s="129" t="n">
        <f aca="false">'🖐🏾 Human'!J95</f>
        <v>0</v>
      </c>
    </row>
    <row r="756" customFormat="false" ht="15.75" hidden="false" customHeight="false" outlineLevel="0" collapsed="false">
      <c r="A756" s="128"/>
      <c r="B756" s="4"/>
      <c r="C756" s="6"/>
      <c r="D756" s="163"/>
      <c r="E756" s="6"/>
      <c r="F756" s="6"/>
      <c r="G756" s="6"/>
      <c r="H756" s="6"/>
      <c r="I756" s="6"/>
    </row>
    <row r="757" customFormat="false" ht="15.75" hidden="false" customHeight="false" outlineLevel="0" collapsed="false">
      <c r="A757" s="128" t="n">
        <f aca="false">'🖐🏾 Human'!$A$97</f>
        <v>0</v>
      </c>
      <c r="B757" s="4" t="s">
        <v>15</v>
      </c>
      <c r="C757" s="129" t="n">
        <f aca="false">'🖐🏾 Human'!C97</f>
        <v>0</v>
      </c>
      <c r="D757" s="163" t="n">
        <f aca="false">'🖐🏾 Human'!E97</f>
        <v>0</v>
      </c>
      <c r="E757" s="129" t="n">
        <f aca="false">'🖐🏾 Human'!F97</f>
        <v>0</v>
      </c>
      <c r="F757" s="129" t="n">
        <f aca="false">'🖐🏾 Human'!G97</f>
        <v>0</v>
      </c>
      <c r="G757" s="129" t="n">
        <f aca="false">'🖐🏾 Human'!H97</f>
        <v>0</v>
      </c>
      <c r="H757" s="129" t="n">
        <f aca="false">'🖐🏾 Human'!I97</f>
        <v>0</v>
      </c>
      <c r="I757" s="129" t="n">
        <f aca="false">'🖐🏾 Human'!J97</f>
        <v>0</v>
      </c>
    </row>
    <row r="758" customFormat="false" ht="15.75" hidden="false" customHeight="false" outlineLevel="0" collapsed="false">
      <c r="A758" s="128" t="n">
        <f aca="false">'🖐🏾 Human'!$A$97</f>
        <v>0</v>
      </c>
      <c r="B758" s="4" t="s">
        <v>15</v>
      </c>
      <c r="C758" s="129" t="n">
        <f aca="false">'🖐🏾 Human'!C98</f>
        <v>0</v>
      </c>
      <c r="D758" s="163" t="n">
        <f aca="false">'🖐🏾 Human'!E98</f>
        <v>0</v>
      </c>
      <c r="E758" s="129" t="n">
        <f aca="false">'🖐🏾 Human'!F98</f>
        <v>0</v>
      </c>
      <c r="F758" s="129" t="n">
        <f aca="false">'🖐🏾 Human'!G98</f>
        <v>0</v>
      </c>
      <c r="G758" s="129" t="n">
        <f aca="false">'🖐🏾 Human'!H98</f>
        <v>0</v>
      </c>
      <c r="H758" s="129" t="n">
        <f aca="false">'🖐🏾 Human'!I98</f>
        <v>0</v>
      </c>
      <c r="I758" s="129" t="n">
        <f aca="false">'🖐🏾 Human'!J98</f>
        <v>0</v>
      </c>
    </row>
    <row r="759" customFormat="false" ht="15.75" hidden="false" customHeight="false" outlineLevel="0" collapsed="false">
      <c r="A759" s="128" t="n">
        <f aca="false">'🖐🏾 Human'!$A$97</f>
        <v>0</v>
      </c>
      <c r="B759" s="4" t="s">
        <v>15</v>
      </c>
      <c r="C759" s="129" t="n">
        <f aca="false">'🖐🏾 Human'!C99</f>
        <v>0</v>
      </c>
      <c r="D759" s="163" t="n">
        <f aca="false">'🖐🏾 Human'!E99</f>
        <v>0</v>
      </c>
      <c r="E759" s="129" t="n">
        <f aca="false">'🖐🏾 Human'!F99</f>
        <v>0</v>
      </c>
      <c r="F759" s="129" t="n">
        <f aca="false">'🖐🏾 Human'!G99</f>
        <v>0</v>
      </c>
      <c r="G759" s="129" t="n">
        <f aca="false">'🖐🏾 Human'!H99</f>
        <v>0</v>
      </c>
      <c r="H759" s="129" t="n">
        <f aca="false">'🖐🏾 Human'!I99</f>
        <v>0</v>
      </c>
      <c r="I759" s="129" t="n">
        <f aca="false">'🖐🏾 Human'!J99</f>
        <v>0</v>
      </c>
    </row>
    <row r="760" customFormat="false" ht="15.75" hidden="false" customHeight="false" outlineLevel="0" collapsed="false">
      <c r="A760" s="128" t="n">
        <f aca="false">'🖐🏾 Human'!$A$97</f>
        <v>0</v>
      </c>
      <c r="B760" s="4" t="s">
        <v>15</v>
      </c>
      <c r="C760" s="129" t="n">
        <f aca="false">'🖐🏾 Human'!C100</f>
        <v>0</v>
      </c>
      <c r="D760" s="163" t="n">
        <f aca="false">'🖐🏾 Human'!E100</f>
        <v>0</v>
      </c>
      <c r="E760" s="129" t="n">
        <f aca="false">'🖐🏾 Human'!F100</f>
        <v>0</v>
      </c>
      <c r="F760" s="129" t="n">
        <f aca="false">'🖐🏾 Human'!G100</f>
        <v>0</v>
      </c>
      <c r="G760" s="129" t="n">
        <f aca="false">'🖐🏾 Human'!H100</f>
        <v>0</v>
      </c>
      <c r="H760" s="129" t="n">
        <f aca="false">'🖐🏾 Human'!I100</f>
        <v>0</v>
      </c>
      <c r="I760" s="129" t="n">
        <f aca="false">'🖐🏾 Human'!J100</f>
        <v>0</v>
      </c>
    </row>
    <row r="761" customFormat="false" ht="15.75" hidden="false" customHeight="false" outlineLevel="0" collapsed="false">
      <c r="A761" s="128"/>
      <c r="B761" s="4"/>
      <c r="C761" s="6"/>
      <c r="D761" s="163"/>
      <c r="E761" s="6"/>
      <c r="F761" s="6"/>
      <c r="G761" s="6"/>
      <c r="H761" s="6"/>
      <c r="I761" s="6"/>
    </row>
    <row r="762" customFormat="false" ht="15.75" hidden="false" customHeight="false" outlineLevel="0" collapsed="false">
      <c r="A762" s="128" t="n">
        <f aca="false">'🖐🏾 Human'!$A$102</f>
        <v>0</v>
      </c>
      <c r="B762" s="4" t="s">
        <v>15</v>
      </c>
      <c r="C762" s="129" t="str">
        <f aca="false">'🖐🏾 Human'!C102</f>
        <v>Heading</v>
      </c>
      <c r="D762" s="163" t="n">
        <f aca="false">'🖐🏾 Human'!E102</f>
        <v>1</v>
      </c>
      <c r="E762" s="129" t="n">
        <f aca="false">'🖐🏾 Human'!F102</f>
        <v>0</v>
      </c>
      <c r="F762" s="129" t="n">
        <f aca="false">'🖐🏾 Human'!G102</f>
        <v>0</v>
      </c>
      <c r="G762" s="129" t="n">
        <f aca="false">'🖐🏾 Human'!H102</f>
        <v>0</v>
      </c>
      <c r="H762" s="129" t="n">
        <f aca="false">'🖐🏾 Human'!I102</f>
        <v>0</v>
      </c>
      <c r="I762" s="129" t="n">
        <f aca="false">'🖐🏾 Human'!J102</f>
        <v>0</v>
      </c>
    </row>
    <row r="763" customFormat="false" ht="15.75" hidden="false" customHeight="false" outlineLevel="0" collapsed="false">
      <c r="A763" s="128" t="n">
        <f aca="false">'🖐🏾 Human'!$A$102</f>
        <v>0</v>
      </c>
      <c r="B763" s="4" t="s">
        <v>15</v>
      </c>
      <c r="C763" s="129" t="n">
        <f aca="false">'🖐🏾 Human'!C103</f>
        <v>0</v>
      </c>
      <c r="D763" s="163" t="n">
        <f aca="false">'🖐🏾 Human'!E103</f>
        <v>1</v>
      </c>
      <c r="E763" s="129" t="n">
        <f aca="false">'🖐🏾 Human'!F103</f>
        <v>0</v>
      </c>
      <c r="F763" s="129" t="n">
        <f aca="false">'🖐🏾 Human'!G103</f>
        <v>0</v>
      </c>
      <c r="G763" s="129" t="n">
        <f aca="false">'🖐🏾 Human'!H103</f>
        <v>0</v>
      </c>
      <c r="H763" s="129" t="n">
        <f aca="false">'🖐🏾 Human'!I103</f>
        <v>0</v>
      </c>
      <c r="I763" s="129" t="n">
        <f aca="false">'🖐🏾 Human'!J103</f>
        <v>0</v>
      </c>
    </row>
    <row r="764" customFormat="false" ht="15.75" hidden="false" customHeight="false" outlineLevel="0" collapsed="false">
      <c r="A764" s="128" t="n">
        <f aca="false">'🖐🏾 Human'!$A$102</f>
        <v>0</v>
      </c>
      <c r="B764" s="4" t="s">
        <v>15</v>
      </c>
      <c r="C764" s="129" t="n">
        <f aca="false">'🖐🏾 Human'!C104</f>
        <v>0</v>
      </c>
      <c r="D764" s="163" t="n">
        <f aca="false">'🖐🏾 Human'!E104</f>
        <v>1</v>
      </c>
      <c r="E764" s="129" t="n">
        <f aca="false">'🖐🏾 Human'!F104</f>
        <v>0</v>
      </c>
      <c r="F764" s="129" t="n">
        <f aca="false">'🖐🏾 Human'!G104</f>
        <v>0</v>
      </c>
      <c r="G764" s="129" t="n">
        <f aca="false">'🖐🏾 Human'!H104</f>
        <v>0</v>
      </c>
      <c r="H764" s="129" t="n">
        <f aca="false">'🖐🏾 Human'!I104</f>
        <v>0</v>
      </c>
      <c r="I764" s="129" t="n">
        <f aca="false">'🖐🏾 Human'!J104</f>
        <v>0</v>
      </c>
    </row>
    <row r="765" customFormat="false" ht="15.75" hidden="false" customHeight="false" outlineLevel="0" collapsed="false">
      <c r="A765" s="128" t="n">
        <f aca="false">'🖐🏾 Human'!$A$102</f>
        <v>0</v>
      </c>
      <c r="B765" s="4" t="s">
        <v>15</v>
      </c>
      <c r="C765" s="129" t="n">
        <f aca="false">'🖐🏾 Human'!C105</f>
        <v>0</v>
      </c>
      <c r="D765" s="163" t="n">
        <f aca="false">'🖐🏾 Human'!E105</f>
        <v>1</v>
      </c>
      <c r="E765" s="129" t="n">
        <f aca="false">'🖐🏾 Human'!F105</f>
        <v>0</v>
      </c>
      <c r="F765" s="129" t="n">
        <f aca="false">'🖐🏾 Human'!G105</f>
        <v>0</v>
      </c>
      <c r="G765" s="129" t="n">
        <f aca="false">'🖐🏾 Human'!H105</f>
        <v>0</v>
      </c>
      <c r="H765" s="129" t="n">
        <f aca="false">'🖐🏾 Human'!I105</f>
        <v>0</v>
      </c>
      <c r="I765" s="129" t="n">
        <f aca="false">'🖐🏾 Human'!J105</f>
        <v>0</v>
      </c>
    </row>
    <row r="766" customFormat="false" ht="15.75" hidden="false" customHeight="false" outlineLevel="0" collapsed="false">
      <c r="A766" s="128"/>
      <c r="B766" s="4"/>
      <c r="C766" s="6"/>
      <c r="D766" s="163"/>
      <c r="E766" s="6"/>
      <c r="F766" s="6"/>
      <c r="G766" s="6"/>
      <c r="H766" s="6"/>
      <c r="I766" s="6"/>
    </row>
    <row r="767" customFormat="false" ht="15.75" hidden="false" customHeight="false" outlineLevel="0" collapsed="false">
      <c r="A767" s="128" t="n">
        <f aca="false">'🖐🏾 Human'!$A$107</f>
        <v>0</v>
      </c>
      <c r="B767" s="4" t="s">
        <v>15</v>
      </c>
      <c r="C767" s="129" t="str">
        <f aca="false">'🖐🏾 Human'!C107</f>
        <v>Heading</v>
      </c>
      <c r="D767" s="163" t="n">
        <f aca="false">'🖐🏾 Human'!E107</f>
        <v>1</v>
      </c>
      <c r="E767" s="129" t="n">
        <f aca="false">'🖐🏾 Human'!F107</f>
        <v>0</v>
      </c>
      <c r="F767" s="129" t="n">
        <f aca="false">'🖐🏾 Human'!G107</f>
        <v>0</v>
      </c>
      <c r="G767" s="129" t="n">
        <f aca="false">'🖐🏾 Human'!H107</f>
        <v>0</v>
      </c>
      <c r="H767" s="129" t="n">
        <f aca="false">'🖐🏾 Human'!I107</f>
        <v>0</v>
      </c>
      <c r="I767" s="129" t="n">
        <f aca="false">'🖐🏾 Human'!J107</f>
        <v>0</v>
      </c>
    </row>
    <row r="768" customFormat="false" ht="15.75" hidden="false" customHeight="false" outlineLevel="0" collapsed="false">
      <c r="A768" s="128" t="n">
        <f aca="false">'🖐🏾 Human'!$A$107</f>
        <v>0</v>
      </c>
      <c r="B768" s="4" t="s">
        <v>15</v>
      </c>
      <c r="C768" s="129" t="n">
        <f aca="false">'🖐🏾 Human'!C108</f>
        <v>0</v>
      </c>
      <c r="D768" s="163" t="n">
        <f aca="false">'🖐🏾 Human'!E108</f>
        <v>1</v>
      </c>
      <c r="E768" s="129" t="n">
        <f aca="false">'🖐🏾 Human'!F108</f>
        <v>0</v>
      </c>
      <c r="F768" s="129" t="n">
        <f aca="false">'🖐🏾 Human'!G108</f>
        <v>0</v>
      </c>
      <c r="G768" s="129" t="n">
        <f aca="false">'🖐🏾 Human'!H108</f>
        <v>0</v>
      </c>
      <c r="H768" s="129" t="n">
        <f aca="false">'🖐🏾 Human'!I108</f>
        <v>0</v>
      </c>
      <c r="I768" s="129" t="n">
        <f aca="false">'🖐🏾 Human'!J108</f>
        <v>0</v>
      </c>
    </row>
    <row r="769" customFormat="false" ht="15.75" hidden="false" customHeight="false" outlineLevel="0" collapsed="false">
      <c r="A769" s="128" t="n">
        <f aca="false">'🖐🏾 Human'!$A$107</f>
        <v>0</v>
      </c>
      <c r="B769" s="4" t="s">
        <v>15</v>
      </c>
      <c r="C769" s="129" t="n">
        <f aca="false">'🖐🏾 Human'!C109</f>
        <v>0</v>
      </c>
      <c r="D769" s="163" t="n">
        <f aca="false">'🖐🏾 Human'!E109</f>
        <v>1</v>
      </c>
      <c r="E769" s="129" t="n">
        <f aca="false">'🖐🏾 Human'!F109</f>
        <v>0</v>
      </c>
      <c r="F769" s="129" t="n">
        <f aca="false">'🖐🏾 Human'!G109</f>
        <v>0</v>
      </c>
      <c r="G769" s="129" t="n">
        <f aca="false">'🖐🏾 Human'!H109</f>
        <v>0</v>
      </c>
      <c r="H769" s="129" t="n">
        <f aca="false">'🖐🏾 Human'!I109</f>
        <v>0</v>
      </c>
      <c r="I769" s="129" t="n">
        <f aca="false">'🖐🏾 Human'!J109</f>
        <v>0</v>
      </c>
    </row>
    <row r="770" customFormat="false" ht="15.75" hidden="false" customHeight="false" outlineLevel="0" collapsed="false">
      <c r="A770" s="128" t="n">
        <f aca="false">'🖐🏾 Human'!$A$107</f>
        <v>0</v>
      </c>
      <c r="B770" s="4" t="s">
        <v>15</v>
      </c>
      <c r="C770" s="129" t="n">
        <f aca="false">'🖐🏾 Human'!C110</f>
        <v>0</v>
      </c>
      <c r="D770" s="163" t="n">
        <f aca="false">'🖐🏾 Human'!E110</f>
        <v>1</v>
      </c>
      <c r="E770" s="129" t="n">
        <f aca="false">'🖐🏾 Human'!F110</f>
        <v>0</v>
      </c>
      <c r="F770" s="129" t="n">
        <f aca="false">'🖐🏾 Human'!G110</f>
        <v>0</v>
      </c>
      <c r="G770" s="129" t="n">
        <f aca="false">'🖐🏾 Human'!H110</f>
        <v>0</v>
      </c>
      <c r="H770" s="129" t="n">
        <f aca="false">'🖐🏾 Human'!I110</f>
        <v>0</v>
      </c>
      <c r="I770" s="129" t="n">
        <f aca="false">'🖐🏾 Human'!J110</f>
        <v>0</v>
      </c>
    </row>
    <row r="771" customFormat="false" ht="15.75" hidden="false" customHeight="false" outlineLevel="0" collapsed="false">
      <c r="A771" s="128"/>
      <c r="B771" s="4"/>
      <c r="C771" s="6"/>
      <c r="D771" s="163"/>
      <c r="E771" s="6"/>
      <c r="F771" s="6"/>
      <c r="G771" s="6"/>
      <c r="H771" s="6"/>
      <c r="I771" s="6"/>
    </row>
    <row r="772" customFormat="false" ht="15.75" hidden="false" customHeight="false" outlineLevel="0" collapsed="false">
      <c r="A772" s="128" t="n">
        <f aca="false">'🖐🏾 Human'!$A$112</f>
        <v>0</v>
      </c>
      <c r="B772" s="4" t="s">
        <v>15</v>
      </c>
      <c r="C772" s="129" t="str">
        <f aca="false">'🖐🏾 Human'!C112</f>
        <v>Heading</v>
      </c>
      <c r="D772" s="163" t="n">
        <f aca="false">'🖐🏾 Human'!E112</f>
        <v>1</v>
      </c>
      <c r="E772" s="129" t="n">
        <f aca="false">'🖐🏾 Human'!F112</f>
        <v>0</v>
      </c>
      <c r="F772" s="129" t="n">
        <f aca="false">'🖐🏾 Human'!G112</f>
        <v>0</v>
      </c>
      <c r="G772" s="129" t="n">
        <f aca="false">'🖐🏾 Human'!H112</f>
        <v>0</v>
      </c>
      <c r="H772" s="129" t="n">
        <f aca="false">'🖐🏾 Human'!I112</f>
        <v>0</v>
      </c>
      <c r="I772" s="129" t="n">
        <f aca="false">'🖐🏾 Human'!J112</f>
        <v>0</v>
      </c>
    </row>
    <row r="773" customFormat="false" ht="15.75" hidden="false" customHeight="false" outlineLevel="0" collapsed="false">
      <c r="A773" s="128" t="n">
        <f aca="false">'🖐🏾 Human'!$A$112</f>
        <v>0</v>
      </c>
      <c r="B773" s="4" t="s">
        <v>15</v>
      </c>
      <c r="C773" s="129" t="n">
        <f aca="false">'🖐🏾 Human'!C113</f>
        <v>0</v>
      </c>
      <c r="D773" s="163" t="n">
        <f aca="false">'🖐🏾 Human'!E113</f>
        <v>1</v>
      </c>
      <c r="E773" s="129" t="n">
        <f aca="false">'🖐🏾 Human'!F113</f>
        <v>0</v>
      </c>
      <c r="F773" s="129" t="n">
        <f aca="false">'🖐🏾 Human'!G113</f>
        <v>0</v>
      </c>
      <c r="G773" s="129" t="n">
        <f aca="false">'🖐🏾 Human'!H113</f>
        <v>0</v>
      </c>
      <c r="H773" s="129" t="n">
        <f aca="false">'🖐🏾 Human'!I113</f>
        <v>0</v>
      </c>
      <c r="I773" s="129" t="n">
        <f aca="false">'🖐🏾 Human'!J113</f>
        <v>0</v>
      </c>
    </row>
    <row r="774" customFormat="false" ht="15.75" hidden="false" customHeight="false" outlineLevel="0" collapsed="false">
      <c r="A774" s="128" t="n">
        <f aca="false">'🖐🏾 Human'!$A$112</f>
        <v>0</v>
      </c>
      <c r="B774" s="4" t="s">
        <v>15</v>
      </c>
      <c r="C774" s="129" t="n">
        <f aca="false">'🖐🏾 Human'!C114</f>
        <v>0</v>
      </c>
      <c r="D774" s="163" t="n">
        <f aca="false">'🖐🏾 Human'!E114</f>
        <v>1</v>
      </c>
      <c r="E774" s="129" t="n">
        <f aca="false">'🖐🏾 Human'!F114</f>
        <v>0</v>
      </c>
      <c r="F774" s="129" t="n">
        <f aca="false">'🖐🏾 Human'!G114</f>
        <v>0</v>
      </c>
      <c r="G774" s="129" t="n">
        <f aca="false">'🖐🏾 Human'!H114</f>
        <v>0</v>
      </c>
      <c r="H774" s="129" t="n">
        <f aca="false">'🖐🏾 Human'!I114</f>
        <v>0</v>
      </c>
      <c r="I774" s="129" t="n">
        <f aca="false">'🖐🏾 Human'!J114</f>
        <v>0</v>
      </c>
    </row>
    <row r="775" customFormat="false" ht="15.75" hidden="false" customHeight="false" outlineLevel="0" collapsed="false">
      <c r="A775" s="128" t="n">
        <f aca="false">'🖐🏾 Human'!$A$112</f>
        <v>0</v>
      </c>
      <c r="B775" s="4" t="s">
        <v>15</v>
      </c>
      <c r="C775" s="129" t="n">
        <f aca="false">'🖐🏾 Human'!C115</f>
        <v>0</v>
      </c>
      <c r="D775" s="163" t="n">
        <f aca="false">'🖐🏾 Human'!E115</f>
        <v>1</v>
      </c>
      <c r="E775" s="129" t="n">
        <f aca="false">'🖐🏾 Human'!F115</f>
        <v>0</v>
      </c>
      <c r="F775" s="129" t="n">
        <f aca="false">'🖐🏾 Human'!G115</f>
        <v>0</v>
      </c>
      <c r="G775" s="129" t="n">
        <f aca="false">'🖐🏾 Human'!H115</f>
        <v>0</v>
      </c>
      <c r="H775" s="129" t="n">
        <f aca="false">'🖐🏾 Human'!I115</f>
        <v>0</v>
      </c>
      <c r="I775" s="129" t="n">
        <f aca="false">'🖐🏾 Human'!J115</f>
        <v>0</v>
      </c>
    </row>
    <row r="776" customFormat="false" ht="15.75" hidden="false" customHeight="false" outlineLevel="0" collapsed="false">
      <c r="A776" s="128"/>
      <c r="B776" s="4"/>
      <c r="C776" s="6"/>
      <c r="D776" s="163"/>
      <c r="E776" s="6"/>
      <c r="F776" s="6"/>
      <c r="G776" s="6"/>
      <c r="H776" s="6"/>
      <c r="I776" s="6"/>
    </row>
    <row r="777" customFormat="false" ht="15.75" hidden="false" customHeight="false" outlineLevel="0" collapsed="false">
      <c r="A777" s="128" t="n">
        <f aca="false">'🖐🏾 Human'!$A$117</f>
        <v>0</v>
      </c>
      <c r="B777" s="4" t="s">
        <v>15</v>
      </c>
      <c r="C777" s="129" t="str">
        <f aca="false">'🖐🏾 Human'!C117</f>
        <v>Heading</v>
      </c>
      <c r="D777" s="163" t="n">
        <f aca="false">'🖐🏾 Human'!E117</f>
        <v>1</v>
      </c>
      <c r="E777" s="129" t="n">
        <f aca="false">'🖐🏾 Human'!F117</f>
        <v>0</v>
      </c>
      <c r="F777" s="129" t="n">
        <f aca="false">'🖐🏾 Human'!G117</f>
        <v>0</v>
      </c>
      <c r="G777" s="129" t="n">
        <f aca="false">'🖐🏾 Human'!H117</f>
        <v>0</v>
      </c>
      <c r="H777" s="129" t="n">
        <f aca="false">'🖐🏾 Human'!I117</f>
        <v>0</v>
      </c>
      <c r="I777" s="129" t="n">
        <f aca="false">'🖐🏾 Human'!J117</f>
        <v>0</v>
      </c>
    </row>
    <row r="778" customFormat="false" ht="15.75" hidden="false" customHeight="false" outlineLevel="0" collapsed="false">
      <c r="A778" s="128" t="n">
        <f aca="false">'🖐🏾 Human'!$A$117</f>
        <v>0</v>
      </c>
      <c r="B778" s="4" t="s">
        <v>15</v>
      </c>
      <c r="C778" s="129" t="n">
        <f aca="false">'🖐🏾 Human'!C118</f>
        <v>0</v>
      </c>
      <c r="D778" s="163" t="n">
        <f aca="false">'🖐🏾 Human'!E118</f>
        <v>1</v>
      </c>
      <c r="E778" s="129" t="n">
        <f aca="false">'🖐🏾 Human'!F118</f>
        <v>0</v>
      </c>
      <c r="F778" s="129" t="n">
        <f aca="false">'🖐🏾 Human'!G118</f>
        <v>0</v>
      </c>
      <c r="G778" s="129" t="n">
        <f aca="false">'🖐🏾 Human'!H118</f>
        <v>0</v>
      </c>
      <c r="H778" s="129" t="n">
        <f aca="false">'🖐🏾 Human'!I118</f>
        <v>0</v>
      </c>
      <c r="I778" s="129" t="n">
        <f aca="false">'🖐🏾 Human'!J118</f>
        <v>0</v>
      </c>
    </row>
    <row r="779" customFormat="false" ht="15.75" hidden="false" customHeight="false" outlineLevel="0" collapsed="false">
      <c r="A779" s="128" t="n">
        <f aca="false">'🖐🏾 Human'!$A$117</f>
        <v>0</v>
      </c>
      <c r="B779" s="4" t="s">
        <v>15</v>
      </c>
      <c r="C779" s="129" t="n">
        <f aca="false">'🖐🏾 Human'!C119</f>
        <v>0</v>
      </c>
      <c r="D779" s="163" t="n">
        <f aca="false">'🖐🏾 Human'!E119</f>
        <v>1</v>
      </c>
      <c r="E779" s="129" t="n">
        <f aca="false">'🖐🏾 Human'!F119</f>
        <v>0</v>
      </c>
      <c r="F779" s="129" t="n">
        <f aca="false">'🖐🏾 Human'!G119</f>
        <v>0</v>
      </c>
      <c r="G779" s="129" t="n">
        <f aca="false">'🖐🏾 Human'!H119</f>
        <v>0</v>
      </c>
      <c r="H779" s="129" t="n">
        <f aca="false">'🖐🏾 Human'!I119</f>
        <v>0</v>
      </c>
      <c r="I779" s="129" t="n">
        <f aca="false">'🖐🏾 Human'!J119</f>
        <v>0</v>
      </c>
    </row>
    <row r="780" customFormat="false" ht="15.75" hidden="false" customHeight="false" outlineLevel="0" collapsed="false">
      <c r="A780" s="128" t="n">
        <f aca="false">'🖐🏾 Human'!$A$117</f>
        <v>0</v>
      </c>
      <c r="B780" s="4" t="s">
        <v>15</v>
      </c>
      <c r="C780" s="129" t="n">
        <f aca="false">'🖐🏾 Human'!C120</f>
        <v>0</v>
      </c>
      <c r="D780" s="163" t="n">
        <f aca="false">'🖐🏾 Human'!E120</f>
        <v>1</v>
      </c>
      <c r="E780" s="129" t="n">
        <f aca="false">'🖐🏾 Human'!F120</f>
        <v>0</v>
      </c>
      <c r="F780" s="129" t="n">
        <f aca="false">'🖐🏾 Human'!G120</f>
        <v>0</v>
      </c>
      <c r="G780" s="129" t="n">
        <f aca="false">'🖐🏾 Human'!H120</f>
        <v>0</v>
      </c>
      <c r="H780" s="129" t="n">
        <f aca="false">'🖐🏾 Human'!I120</f>
        <v>0</v>
      </c>
      <c r="I780" s="129" t="n">
        <f aca="false">'🖐🏾 Human'!J120</f>
        <v>0</v>
      </c>
    </row>
    <row r="781" customFormat="false" ht="15.75" hidden="false" customHeight="false" outlineLevel="0" collapsed="false">
      <c r="A781" s="128"/>
      <c r="B781" s="4"/>
      <c r="C781" s="6"/>
      <c r="D781" s="163"/>
      <c r="E781" s="6"/>
      <c r="F781" s="6"/>
      <c r="G781" s="6"/>
      <c r="H781" s="6"/>
      <c r="I781" s="6"/>
    </row>
    <row r="782" customFormat="false" ht="15.75" hidden="false" customHeight="false" outlineLevel="0" collapsed="false">
      <c r="A782" s="128" t="n">
        <f aca="false">'🖐🏾 Human'!$A$122</f>
        <v>0</v>
      </c>
      <c r="B782" s="4" t="s">
        <v>15</v>
      </c>
      <c r="C782" s="129" t="str">
        <f aca="false">'🖐🏾 Human'!C122</f>
        <v>Heading</v>
      </c>
      <c r="D782" s="163" t="n">
        <f aca="false">'🖐🏾 Human'!E122</f>
        <v>1</v>
      </c>
      <c r="E782" s="129" t="n">
        <f aca="false">'🖐🏾 Human'!F122</f>
        <v>0</v>
      </c>
      <c r="F782" s="129" t="n">
        <f aca="false">'🖐🏾 Human'!G122</f>
        <v>0</v>
      </c>
      <c r="G782" s="129" t="n">
        <f aca="false">'🖐🏾 Human'!H122</f>
        <v>0</v>
      </c>
      <c r="H782" s="129" t="n">
        <f aca="false">'🖐🏾 Human'!I122</f>
        <v>0</v>
      </c>
      <c r="I782" s="129" t="n">
        <f aca="false">'🖐🏾 Human'!J122</f>
        <v>0</v>
      </c>
    </row>
    <row r="783" customFormat="false" ht="15.75" hidden="false" customHeight="false" outlineLevel="0" collapsed="false">
      <c r="A783" s="128" t="n">
        <f aca="false">'🖐🏾 Human'!$A$122</f>
        <v>0</v>
      </c>
      <c r="B783" s="4" t="s">
        <v>15</v>
      </c>
      <c r="C783" s="129" t="n">
        <f aca="false">'🖐🏾 Human'!C123</f>
        <v>0</v>
      </c>
      <c r="D783" s="163" t="n">
        <f aca="false">'🖐🏾 Human'!E123</f>
        <v>1</v>
      </c>
      <c r="E783" s="129" t="n">
        <f aca="false">'🖐🏾 Human'!F123</f>
        <v>0</v>
      </c>
      <c r="F783" s="129" t="n">
        <f aca="false">'🖐🏾 Human'!G123</f>
        <v>0</v>
      </c>
      <c r="G783" s="129" t="n">
        <f aca="false">'🖐🏾 Human'!H123</f>
        <v>0</v>
      </c>
      <c r="H783" s="129" t="n">
        <f aca="false">'🖐🏾 Human'!I123</f>
        <v>0</v>
      </c>
      <c r="I783" s="129" t="n">
        <f aca="false">'🖐🏾 Human'!J123</f>
        <v>0</v>
      </c>
    </row>
    <row r="784" customFormat="false" ht="15.75" hidden="false" customHeight="false" outlineLevel="0" collapsed="false">
      <c r="A784" s="128" t="n">
        <f aca="false">'🖐🏾 Human'!$A$122</f>
        <v>0</v>
      </c>
      <c r="B784" s="4" t="s">
        <v>15</v>
      </c>
      <c r="C784" s="129" t="n">
        <f aca="false">'🖐🏾 Human'!C124</f>
        <v>0</v>
      </c>
      <c r="D784" s="163" t="n">
        <f aca="false">'🖐🏾 Human'!E124</f>
        <v>1</v>
      </c>
      <c r="E784" s="129" t="n">
        <f aca="false">'🖐🏾 Human'!F124</f>
        <v>0</v>
      </c>
      <c r="F784" s="129" t="n">
        <f aca="false">'🖐🏾 Human'!G124</f>
        <v>0</v>
      </c>
      <c r="G784" s="129" t="n">
        <f aca="false">'🖐🏾 Human'!H124</f>
        <v>0</v>
      </c>
      <c r="H784" s="129" t="n">
        <f aca="false">'🖐🏾 Human'!I124</f>
        <v>0</v>
      </c>
      <c r="I784" s="129" t="n">
        <f aca="false">'🖐🏾 Human'!J124</f>
        <v>0</v>
      </c>
    </row>
    <row r="785" customFormat="false" ht="15.75" hidden="false" customHeight="false" outlineLevel="0" collapsed="false">
      <c r="A785" s="128" t="n">
        <f aca="false">'🖐🏾 Human'!$A$122</f>
        <v>0</v>
      </c>
      <c r="B785" s="4" t="s">
        <v>15</v>
      </c>
      <c r="C785" s="129" t="n">
        <f aca="false">'🖐🏾 Human'!C125</f>
        <v>0</v>
      </c>
      <c r="D785" s="163" t="n">
        <f aca="false">'🖐🏾 Human'!E125</f>
        <v>1</v>
      </c>
      <c r="E785" s="129" t="n">
        <f aca="false">'🖐🏾 Human'!F125</f>
        <v>0</v>
      </c>
      <c r="F785" s="129" t="n">
        <f aca="false">'🖐🏾 Human'!G125</f>
        <v>0</v>
      </c>
      <c r="G785" s="129" t="n">
        <f aca="false">'🖐🏾 Human'!H125</f>
        <v>0</v>
      </c>
      <c r="H785" s="129" t="n">
        <f aca="false">'🖐🏾 Human'!I125</f>
        <v>0</v>
      </c>
      <c r="I785" s="129" t="n">
        <f aca="false">'🖐🏾 Human'!J125</f>
        <v>0</v>
      </c>
    </row>
    <row r="786" customFormat="false" ht="15.75" hidden="false" customHeight="false" outlineLevel="0" collapsed="false">
      <c r="A786" s="128"/>
      <c r="B786" s="4"/>
      <c r="C786" s="6"/>
      <c r="D786" s="163"/>
      <c r="E786" s="6"/>
      <c r="F786" s="6"/>
      <c r="G786" s="6"/>
      <c r="H786" s="6"/>
      <c r="I786" s="6"/>
    </row>
    <row r="787" customFormat="false" ht="15.75" hidden="false" customHeight="false" outlineLevel="0" collapsed="false">
      <c r="A787" s="128" t="n">
        <f aca="false">'🖐🏾 Human'!$A$127</f>
        <v>0</v>
      </c>
      <c r="B787" s="4" t="s">
        <v>15</v>
      </c>
      <c r="C787" s="129" t="str">
        <f aca="false">'🖐🏾 Human'!C127</f>
        <v>Heading</v>
      </c>
      <c r="D787" s="163" t="n">
        <f aca="false">'🖐🏾 Human'!E127</f>
        <v>1</v>
      </c>
      <c r="E787" s="129" t="n">
        <f aca="false">'🖐🏾 Human'!F127</f>
        <v>0</v>
      </c>
      <c r="F787" s="129" t="n">
        <f aca="false">'🖐🏾 Human'!G127</f>
        <v>0</v>
      </c>
      <c r="G787" s="129" t="n">
        <f aca="false">'🖐🏾 Human'!H127</f>
        <v>0</v>
      </c>
      <c r="H787" s="129" t="n">
        <f aca="false">'🖐🏾 Human'!I127</f>
        <v>0</v>
      </c>
      <c r="I787" s="129" t="n">
        <f aca="false">'🖐🏾 Human'!J127</f>
        <v>0</v>
      </c>
    </row>
    <row r="788" customFormat="false" ht="15.75" hidden="false" customHeight="false" outlineLevel="0" collapsed="false">
      <c r="A788" s="128" t="n">
        <f aca="false">'🖐🏾 Human'!$A$127</f>
        <v>0</v>
      </c>
      <c r="B788" s="4" t="s">
        <v>15</v>
      </c>
      <c r="C788" s="129" t="n">
        <f aca="false">'🖐🏾 Human'!C128</f>
        <v>0</v>
      </c>
      <c r="D788" s="163" t="n">
        <f aca="false">'🖐🏾 Human'!E128</f>
        <v>1</v>
      </c>
      <c r="E788" s="129" t="n">
        <f aca="false">'🖐🏾 Human'!F128</f>
        <v>0</v>
      </c>
      <c r="F788" s="129" t="n">
        <f aca="false">'🖐🏾 Human'!G128</f>
        <v>0</v>
      </c>
      <c r="G788" s="129" t="n">
        <f aca="false">'🖐🏾 Human'!H128</f>
        <v>0</v>
      </c>
      <c r="H788" s="129" t="n">
        <f aca="false">'🖐🏾 Human'!I128</f>
        <v>0</v>
      </c>
      <c r="I788" s="129" t="n">
        <f aca="false">'🖐🏾 Human'!J128</f>
        <v>0</v>
      </c>
    </row>
    <row r="789" customFormat="false" ht="15.75" hidden="false" customHeight="false" outlineLevel="0" collapsed="false">
      <c r="A789" s="128" t="n">
        <f aca="false">'🖐🏾 Human'!$A$127</f>
        <v>0</v>
      </c>
      <c r="B789" s="4" t="s">
        <v>15</v>
      </c>
      <c r="C789" s="129" t="n">
        <f aca="false">'🖐🏾 Human'!C129</f>
        <v>0</v>
      </c>
      <c r="D789" s="163" t="n">
        <f aca="false">'🖐🏾 Human'!E129</f>
        <v>1</v>
      </c>
      <c r="E789" s="129" t="n">
        <f aca="false">'🖐🏾 Human'!F129</f>
        <v>0</v>
      </c>
      <c r="F789" s="129" t="n">
        <f aca="false">'🖐🏾 Human'!G129</f>
        <v>0</v>
      </c>
      <c r="G789" s="129" t="n">
        <f aca="false">'🖐🏾 Human'!H129</f>
        <v>0</v>
      </c>
      <c r="H789" s="129" t="n">
        <f aca="false">'🖐🏾 Human'!I129</f>
        <v>0</v>
      </c>
      <c r="I789" s="129" t="n">
        <f aca="false">'🖐🏾 Human'!J129</f>
        <v>0</v>
      </c>
    </row>
    <row r="790" customFormat="false" ht="15.75" hidden="false" customHeight="false" outlineLevel="0" collapsed="false">
      <c r="A790" s="128" t="n">
        <f aca="false">'🖐🏾 Human'!$A$127</f>
        <v>0</v>
      </c>
      <c r="B790" s="4" t="s">
        <v>15</v>
      </c>
      <c r="C790" s="129" t="n">
        <f aca="false">'🖐🏾 Human'!C130</f>
        <v>0</v>
      </c>
      <c r="D790" s="163" t="n">
        <f aca="false">'🖐🏾 Human'!E130</f>
        <v>1</v>
      </c>
      <c r="E790" s="129" t="n">
        <f aca="false">'🖐🏾 Human'!F130</f>
        <v>0</v>
      </c>
      <c r="F790" s="129" t="n">
        <f aca="false">'🖐🏾 Human'!G130</f>
        <v>0</v>
      </c>
      <c r="G790" s="129" t="n">
        <f aca="false">'🖐🏾 Human'!H130</f>
        <v>0</v>
      </c>
      <c r="H790" s="129" t="n">
        <f aca="false">'🖐🏾 Human'!I130</f>
        <v>0</v>
      </c>
      <c r="I790" s="129" t="n">
        <f aca="false">'🖐🏾 Human'!J130</f>
        <v>0</v>
      </c>
    </row>
    <row r="791" customFormat="false" ht="15.75" hidden="false" customHeight="false" outlineLevel="0" collapsed="false">
      <c r="A791" s="128"/>
      <c r="B791" s="4"/>
      <c r="C791" s="6"/>
      <c r="D791" s="163"/>
      <c r="E791" s="6"/>
      <c r="F791" s="6"/>
      <c r="G791" s="6"/>
      <c r="H791" s="6"/>
      <c r="I791" s="6"/>
    </row>
    <row r="792" customFormat="false" ht="15.75" hidden="false" customHeight="false" outlineLevel="0" collapsed="false">
      <c r="A792" s="128" t="n">
        <f aca="false">'🖐🏾 Human'!$A$132</f>
        <v>0</v>
      </c>
      <c r="B792" s="4" t="s">
        <v>15</v>
      </c>
      <c r="C792" s="129" t="str">
        <f aca="false">'🖐🏾 Human'!C132</f>
        <v>Heading</v>
      </c>
      <c r="D792" s="163" t="n">
        <f aca="false">'🖐🏾 Human'!E132</f>
        <v>1</v>
      </c>
      <c r="E792" s="129" t="n">
        <f aca="false">'🖐🏾 Human'!F132</f>
        <v>0</v>
      </c>
      <c r="F792" s="129" t="n">
        <f aca="false">'🖐🏾 Human'!G132</f>
        <v>0</v>
      </c>
      <c r="G792" s="129" t="n">
        <f aca="false">'🖐🏾 Human'!H132</f>
        <v>0</v>
      </c>
      <c r="H792" s="129" t="n">
        <f aca="false">'🖐🏾 Human'!I132</f>
        <v>0</v>
      </c>
      <c r="I792" s="129" t="n">
        <f aca="false">'🖐🏾 Human'!J132</f>
        <v>0</v>
      </c>
    </row>
    <row r="793" customFormat="false" ht="15.75" hidden="false" customHeight="false" outlineLevel="0" collapsed="false">
      <c r="A793" s="128" t="n">
        <f aca="false">'🖐🏾 Human'!$A$132</f>
        <v>0</v>
      </c>
      <c r="B793" s="4" t="s">
        <v>15</v>
      </c>
      <c r="C793" s="129" t="n">
        <f aca="false">'🖐🏾 Human'!C133</f>
        <v>0</v>
      </c>
      <c r="D793" s="163" t="n">
        <f aca="false">'🖐🏾 Human'!E133</f>
        <v>1</v>
      </c>
      <c r="E793" s="129" t="n">
        <f aca="false">'🖐🏾 Human'!F133</f>
        <v>0</v>
      </c>
      <c r="F793" s="129" t="n">
        <f aca="false">'🖐🏾 Human'!G133</f>
        <v>0</v>
      </c>
      <c r="G793" s="129" t="n">
        <f aca="false">'🖐🏾 Human'!H133</f>
        <v>0</v>
      </c>
      <c r="H793" s="129" t="n">
        <f aca="false">'🖐🏾 Human'!I133</f>
        <v>0</v>
      </c>
      <c r="I793" s="129" t="n">
        <f aca="false">'🖐🏾 Human'!J133</f>
        <v>0</v>
      </c>
    </row>
    <row r="794" customFormat="false" ht="15.75" hidden="false" customHeight="false" outlineLevel="0" collapsed="false">
      <c r="A794" s="128" t="n">
        <f aca="false">'🖐🏾 Human'!$A$132</f>
        <v>0</v>
      </c>
      <c r="B794" s="4" t="s">
        <v>15</v>
      </c>
      <c r="C794" s="129" t="n">
        <f aca="false">'🖐🏾 Human'!C134</f>
        <v>0</v>
      </c>
      <c r="D794" s="163" t="n">
        <f aca="false">'🖐🏾 Human'!E134</f>
        <v>1</v>
      </c>
      <c r="E794" s="129" t="n">
        <f aca="false">'🖐🏾 Human'!F134</f>
        <v>0</v>
      </c>
      <c r="F794" s="129" t="n">
        <f aca="false">'🖐🏾 Human'!G134</f>
        <v>0</v>
      </c>
      <c r="G794" s="129" t="n">
        <f aca="false">'🖐🏾 Human'!H134</f>
        <v>0</v>
      </c>
      <c r="H794" s="129" t="n">
        <f aca="false">'🖐🏾 Human'!I134</f>
        <v>0</v>
      </c>
      <c r="I794" s="129" t="n">
        <f aca="false">'🖐🏾 Human'!J134</f>
        <v>0</v>
      </c>
    </row>
    <row r="795" customFormat="false" ht="15.75" hidden="false" customHeight="false" outlineLevel="0" collapsed="false">
      <c r="A795" s="128" t="n">
        <f aca="false">'🖐🏾 Human'!$A$132</f>
        <v>0</v>
      </c>
      <c r="B795" s="4" t="s">
        <v>15</v>
      </c>
      <c r="C795" s="129" t="n">
        <f aca="false">'🖐🏾 Human'!C135</f>
        <v>0</v>
      </c>
      <c r="D795" s="163" t="n">
        <f aca="false">'🖐🏾 Human'!E135</f>
        <v>1</v>
      </c>
      <c r="E795" s="129" t="n">
        <f aca="false">'🖐🏾 Human'!F135</f>
        <v>0</v>
      </c>
      <c r="F795" s="129" t="n">
        <f aca="false">'🖐🏾 Human'!G135</f>
        <v>0</v>
      </c>
      <c r="G795" s="129" t="n">
        <f aca="false">'🖐🏾 Human'!H135</f>
        <v>0</v>
      </c>
      <c r="H795" s="129" t="n">
        <f aca="false">'🖐🏾 Human'!I135</f>
        <v>0</v>
      </c>
      <c r="I795" s="129" t="n">
        <f aca="false">'🖐🏾 Human'!J135</f>
        <v>0</v>
      </c>
    </row>
    <row r="796" customFormat="false" ht="15.75" hidden="false" customHeight="false" outlineLevel="0" collapsed="false">
      <c r="A796" s="128"/>
      <c r="B796" s="4"/>
      <c r="C796" s="6"/>
      <c r="D796" s="163"/>
      <c r="E796" s="6"/>
      <c r="F796" s="6"/>
      <c r="G796" s="6"/>
      <c r="H796" s="6"/>
      <c r="I796" s="6"/>
    </row>
    <row r="797" customFormat="false" ht="15.75" hidden="false" customHeight="false" outlineLevel="0" collapsed="false">
      <c r="A797" s="128" t="n">
        <f aca="false">'🖐🏾 Human'!$A$137</f>
        <v>0</v>
      </c>
      <c r="B797" s="4" t="s">
        <v>15</v>
      </c>
      <c r="C797" s="129" t="str">
        <f aca="false">'🖐🏾 Human'!C137</f>
        <v>Heading</v>
      </c>
      <c r="D797" s="163" t="n">
        <f aca="false">'🖐🏾 Human'!E137</f>
        <v>1</v>
      </c>
      <c r="E797" s="129" t="n">
        <f aca="false">'🖐🏾 Human'!F137</f>
        <v>0</v>
      </c>
      <c r="F797" s="129" t="n">
        <f aca="false">'🖐🏾 Human'!G137</f>
        <v>0</v>
      </c>
      <c r="G797" s="129" t="n">
        <f aca="false">'🖐🏾 Human'!H137</f>
        <v>0</v>
      </c>
      <c r="H797" s="129" t="n">
        <f aca="false">'🖐🏾 Human'!I137</f>
        <v>0</v>
      </c>
      <c r="I797" s="129" t="n">
        <f aca="false">'🖐🏾 Human'!J137</f>
        <v>0</v>
      </c>
    </row>
    <row r="798" customFormat="false" ht="15.75" hidden="false" customHeight="false" outlineLevel="0" collapsed="false">
      <c r="A798" s="128" t="n">
        <f aca="false">'🖐🏾 Human'!$A$137</f>
        <v>0</v>
      </c>
      <c r="B798" s="4" t="s">
        <v>15</v>
      </c>
      <c r="C798" s="129" t="n">
        <f aca="false">'🖐🏾 Human'!C138</f>
        <v>0</v>
      </c>
      <c r="D798" s="163" t="n">
        <f aca="false">'🖐🏾 Human'!E138</f>
        <v>1</v>
      </c>
      <c r="E798" s="129" t="n">
        <f aca="false">'🖐🏾 Human'!F138</f>
        <v>0</v>
      </c>
      <c r="F798" s="129" t="n">
        <f aca="false">'🖐🏾 Human'!G138</f>
        <v>0</v>
      </c>
      <c r="G798" s="129" t="n">
        <f aca="false">'🖐🏾 Human'!H138</f>
        <v>0</v>
      </c>
      <c r="H798" s="129" t="n">
        <f aca="false">'🖐🏾 Human'!I138</f>
        <v>0</v>
      </c>
      <c r="I798" s="129" t="n">
        <f aca="false">'🖐🏾 Human'!J138</f>
        <v>0</v>
      </c>
    </row>
    <row r="799" customFormat="false" ht="15.75" hidden="false" customHeight="false" outlineLevel="0" collapsed="false">
      <c r="A799" s="128" t="n">
        <f aca="false">'🖐🏾 Human'!$A$137</f>
        <v>0</v>
      </c>
      <c r="B799" s="4" t="s">
        <v>15</v>
      </c>
      <c r="C799" s="129" t="n">
        <f aca="false">'🖐🏾 Human'!C139</f>
        <v>0</v>
      </c>
      <c r="D799" s="163" t="n">
        <f aca="false">'🖐🏾 Human'!E139</f>
        <v>1</v>
      </c>
      <c r="E799" s="129" t="n">
        <f aca="false">'🖐🏾 Human'!F139</f>
        <v>0</v>
      </c>
      <c r="F799" s="129" t="n">
        <f aca="false">'🖐🏾 Human'!G139</f>
        <v>0</v>
      </c>
      <c r="G799" s="129" t="n">
        <f aca="false">'🖐🏾 Human'!H139</f>
        <v>0</v>
      </c>
      <c r="H799" s="129" t="n">
        <f aca="false">'🖐🏾 Human'!I139</f>
        <v>0</v>
      </c>
      <c r="I799" s="129" t="n">
        <f aca="false">'🖐🏾 Human'!J139</f>
        <v>0</v>
      </c>
    </row>
    <row r="800" customFormat="false" ht="15.75" hidden="false" customHeight="false" outlineLevel="0" collapsed="false">
      <c r="A800" s="128" t="n">
        <f aca="false">'🖐🏾 Human'!$A$137</f>
        <v>0</v>
      </c>
      <c r="B800" s="4" t="s">
        <v>15</v>
      </c>
      <c r="C800" s="129" t="n">
        <f aca="false">'🖐🏾 Human'!C140</f>
        <v>0</v>
      </c>
      <c r="D800" s="163" t="n">
        <f aca="false">'🖐🏾 Human'!E140</f>
        <v>1</v>
      </c>
      <c r="E800" s="129" t="n">
        <f aca="false">'🖐🏾 Human'!F140</f>
        <v>0</v>
      </c>
      <c r="F800" s="129" t="n">
        <f aca="false">'🖐🏾 Human'!G140</f>
        <v>0</v>
      </c>
      <c r="G800" s="129" t="n">
        <f aca="false">'🖐🏾 Human'!H140</f>
        <v>0</v>
      </c>
      <c r="H800" s="129" t="n">
        <f aca="false">'🖐🏾 Human'!I140</f>
        <v>0</v>
      </c>
      <c r="I800" s="129" t="n">
        <f aca="false">'🖐🏾 Human'!J140</f>
        <v>0</v>
      </c>
    </row>
    <row r="801" customFormat="false" ht="15.75" hidden="false" customHeight="false" outlineLevel="0" collapsed="false">
      <c r="A801" s="128"/>
      <c r="B801" s="4"/>
      <c r="C801" s="6"/>
      <c r="D801" s="163"/>
      <c r="E801" s="6"/>
      <c r="F801" s="6"/>
      <c r="G801" s="6"/>
      <c r="H801" s="6"/>
      <c r="I801" s="6"/>
    </row>
    <row r="802" customFormat="false" ht="15.75" hidden="false" customHeight="false" outlineLevel="0" collapsed="false">
      <c r="A802" s="128" t="n">
        <f aca="false">'🖐🏾 Human'!$A$142</f>
        <v>0</v>
      </c>
      <c r="B802" s="4" t="s">
        <v>15</v>
      </c>
      <c r="C802" s="129" t="str">
        <f aca="false">'🖐🏾 Human'!C142</f>
        <v>Heading</v>
      </c>
      <c r="D802" s="163" t="n">
        <f aca="false">'🖐🏾 Human'!E142</f>
        <v>1</v>
      </c>
      <c r="E802" s="129" t="n">
        <f aca="false">'🖐🏾 Human'!F142</f>
        <v>0</v>
      </c>
      <c r="F802" s="129" t="n">
        <f aca="false">'🖐🏾 Human'!G142</f>
        <v>0</v>
      </c>
      <c r="G802" s="129" t="n">
        <f aca="false">'🖐🏾 Human'!H142</f>
        <v>0</v>
      </c>
      <c r="H802" s="129" t="n">
        <f aca="false">'🖐🏾 Human'!I142</f>
        <v>0</v>
      </c>
      <c r="I802" s="129" t="n">
        <f aca="false">'🖐🏾 Human'!J142</f>
        <v>0</v>
      </c>
    </row>
    <row r="803" customFormat="false" ht="15.75" hidden="false" customHeight="false" outlineLevel="0" collapsed="false">
      <c r="A803" s="128" t="n">
        <f aca="false">'🖐🏾 Human'!$A$142</f>
        <v>0</v>
      </c>
      <c r="B803" s="4" t="s">
        <v>15</v>
      </c>
      <c r="C803" s="129" t="n">
        <f aca="false">'🖐🏾 Human'!C143</f>
        <v>0</v>
      </c>
      <c r="D803" s="163" t="n">
        <f aca="false">'🖐🏾 Human'!E143</f>
        <v>1</v>
      </c>
      <c r="E803" s="129" t="n">
        <f aca="false">'🖐🏾 Human'!F143</f>
        <v>0</v>
      </c>
      <c r="F803" s="129" t="n">
        <f aca="false">'🖐🏾 Human'!G143</f>
        <v>0</v>
      </c>
      <c r="G803" s="129" t="n">
        <f aca="false">'🖐🏾 Human'!H143</f>
        <v>0</v>
      </c>
      <c r="H803" s="129" t="n">
        <f aca="false">'🖐🏾 Human'!I143</f>
        <v>0</v>
      </c>
      <c r="I803" s="129" t="n">
        <f aca="false">'🖐🏾 Human'!J143</f>
        <v>0</v>
      </c>
    </row>
    <row r="804" customFormat="false" ht="15.75" hidden="false" customHeight="false" outlineLevel="0" collapsed="false">
      <c r="A804" s="128" t="n">
        <f aca="false">'🖐🏾 Human'!$A$142</f>
        <v>0</v>
      </c>
      <c r="B804" s="4" t="s">
        <v>15</v>
      </c>
      <c r="C804" s="129" t="n">
        <f aca="false">'🖐🏾 Human'!C144</f>
        <v>0</v>
      </c>
      <c r="D804" s="163" t="n">
        <f aca="false">'🖐🏾 Human'!E144</f>
        <v>1</v>
      </c>
      <c r="E804" s="129" t="n">
        <f aca="false">'🖐🏾 Human'!F144</f>
        <v>0</v>
      </c>
      <c r="F804" s="129" t="n">
        <f aca="false">'🖐🏾 Human'!G144</f>
        <v>0</v>
      </c>
      <c r="G804" s="129" t="n">
        <f aca="false">'🖐🏾 Human'!H144</f>
        <v>0</v>
      </c>
      <c r="H804" s="129" t="n">
        <f aca="false">'🖐🏾 Human'!I144</f>
        <v>0</v>
      </c>
      <c r="I804" s="129" t="n">
        <f aca="false">'🖐🏾 Human'!J144</f>
        <v>0</v>
      </c>
    </row>
    <row r="805" customFormat="false" ht="15.75" hidden="false" customHeight="false" outlineLevel="0" collapsed="false">
      <c r="A805" s="128" t="n">
        <f aca="false">'🖐🏾 Human'!$A$142</f>
        <v>0</v>
      </c>
      <c r="B805" s="4" t="s">
        <v>15</v>
      </c>
      <c r="C805" s="129" t="n">
        <f aca="false">'🖐🏾 Human'!C145</f>
        <v>0</v>
      </c>
      <c r="D805" s="163" t="n">
        <f aca="false">'🖐🏾 Human'!E145</f>
        <v>1</v>
      </c>
      <c r="E805" s="129" t="n">
        <f aca="false">'🖐🏾 Human'!F145</f>
        <v>0</v>
      </c>
      <c r="F805" s="129" t="n">
        <f aca="false">'🖐🏾 Human'!G145</f>
        <v>0</v>
      </c>
      <c r="G805" s="129" t="n">
        <f aca="false">'🖐🏾 Human'!H145</f>
        <v>0</v>
      </c>
      <c r="H805" s="129" t="n">
        <f aca="false">'🖐🏾 Human'!I145</f>
        <v>0</v>
      </c>
      <c r="I805" s="129" t="n">
        <f aca="false">'🖐🏾 Human'!J145</f>
        <v>0</v>
      </c>
    </row>
    <row r="806" customFormat="false" ht="15.75" hidden="false" customHeight="false" outlineLevel="0" collapsed="false">
      <c r="A806" s="128"/>
      <c r="B806" s="4"/>
      <c r="C806" s="6"/>
      <c r="D806" s="163"/>
      <c r="E806" s="6"/>
      <c r="F806" s="6"/>
      <c r="G806" s="6"/>
      <c r="H806" s="6"/>
      <c r="I806" s="6"/>
    </row>
    <row r="807" customFormat="false" ht="15.75" hidden="false" customHeight="false" outlineLevel="0" collapsed="false">
      <c r="A807" s="128" t="n">
        <f aca="false">'🖐🏾 Human'!$A$147</f>
        <v>0</v>
      </c>
      <c r="B807" s="4" t="s">
        <v>15</v>
      </c>
      <c r="C807" s="129" t="str">
        <f aca="false">'🖐🏾 Human'!C147</f>
        <v>Heading</v>
      </c>
      <c r="D807" s="163" t="n">
        <f aca="false">'🖐🏾 Human'!E147</f>
        <v>1</v>
      </c>
      <c r="E807" s="129" t="n">
        <f aca="false">'🖐🏾 Human'!F147</f>
        <v>0</v>
      </c>
      <c r="F807" s="129" t="n">
        <f aca="false">'🖐🏾 Human'!G147</f>
        <v>0</v>
      </c>
      <c r="G807" s="129" t="n">
        <f aca="false">'🖐🏾 Human'!H147</f>
        <v>0</v>
      </c>
      <c r="H807" s="129" t="n">
        <f aca="false">'🖐🏾 Human'!I147</f>
        <v>0</v>
      </c>
      <c r="I807" s="129" t="n">
        <f aca="false">'🖐🏾 Human'!J147</f>
        <v>0</v>
      </c>
    </row>
    <row r="808" customFormat="false" ht="15.75" hidden="false" customHeight="false" outlineLevel="0" collapsed="false">
      <c r="A808" s="128" t="n">
        <f aca="false">'🖐🏾 Human'!$A$147</f>
        <v>0</v>
      </c>
      <c r="B808" s="4" t="s">
        <v>15</v>
      </c>
      <c r="C808" s="129" t="n">
        <f aca="false">'🖐🏾 Human'!C148</f>
        <v>0</v>
      </c>
      <c r="D808" s="163" t="n">
        <f aca="false">'🖐🏾 Human'!E148</f>
        <v>1</v>
      </c>
      <c r="E808" s="129" t="n">
        <f aca="false">'🖐🏾 Human'!F148</f>
        <v>0</v>
      </c>
      <c r="F808" s="129" t="n">
        <f aca="false">'🖐🏾 Human'!G148</f>
        <v>0</v>
      </c>
      <c r="G808" s="129" t="n">
        <f aca="false">'🖐🏾 Human'!H148</f>
        <v>0</v>
      </c>
      <c r="H808" s="129" t="n">
        <f aca="false">'🖐🏾 Human'!I148</f>
        <v>0</v>
      </c>
      <c r="I808" s="129" t="n">
        <f aca="false">'🖐🏾 Human'!J148</f>
        <v>0</v>
      </c>
    </row>
    <row r="809" customFormat="false" ht="15.75" hidden="false" customHeight="false" outlineLevel="0" collapsed="false">
      <c r="A809" s="128" t="n">
        <f aca="false">'🖐🏾 Human'!$A$147</f>
        <v>0</v>
      </c>
      <c r="B809" s="4" t="s">
        <v>15</v>
      </c>
      <c r="C809" s="129" t="n">
        <f aca="false">'🖐🏾 Human'!C149</f>
        <v>0</v>
      </c>
      <c r="D809" s="163" t="n">
        <f aca="false">'🖐🏾 Human'!E149</f>
        <v>1</v>
      </c>
      <c r="E809" s="129" t="n">
        <f aca="false">'🖐🏾 Human'!F149</f>
        <v>0</v>
      </c>
      <c r="F809" s="129" t="n">
        <f aca="false">'🖐🏾 Human'!G149</f>
        <v>0</v>
      </c>
      <c r="G809" s="129" t="n">
        <f aca="false">'🖐🏾 Human'!H149</f>
        <v>0</v>
      </c>
      <c r="H809" s="129" t="n">
        <f aca="false">'🖐🏾 Human'!I149</f>
        <v>0</v>
      </c>
      <c r="I809" s="129" t="n">
        <f aca="false">'🖐🏾 Human'!J149</f>
        <v>0</v>
      </c>
    </row>
    <row r="810" customFormat="false" ht="15.75" hidden="false" customHeight="false" outlineLevel="0" collapsed="false">
      <c r="A810" s="128" t="n">
        <f aca="false">'🖐🏾 Human'!$A$147</f>
        <v>0</v>
      </c>
      <c r="B810" s="4" t="s">
        <v>15</v>
      </c>
      <c r="C810" s="129" t="n">
        <f aca="false">'🖐🏾 Human'!C150</f>
        <v>0</v>
      </c>
      <c r="D810" s="163" t="n">
        <f aca="false">'🖐🏾 Human'!E150</f>
        <v>1</v>
      </c>
      <c r="E810" s="129" t="n">
        <f aca="false">'🖐🏾 Human'!F150</f>
        <v>0</v>
      </c>
      <c r="F810" s="129" t="n">
        <f aca="false">'🖐🏾 Human'!G150</f>
        <v>0</v>
      </c>
      <c r="G810" s="129" t="n">
        <f aca="false">'🖐🏾 Human'!H150</f>
        <v>0</v>
      </c>
      <c r="H810" s="129" t="n">
        <f aca="false">'🖐🏾 Human'!I150</f>
        <v>0</v>
      </c>
      <c r="I810" s="129" t="n">
        <f aca="false">'🖐🏾 Human'!J150</f>
        <v>0</v>
      </c>
    </row>
    <row r="811" customFormat="false" ht="15.75" hidden="false" customHeight="false" outlineLevel="0" collapsed="false">
      <c r="A811" s="128"/>
      <c r="B811" s="4"/>
      <c r="C811" s="6"/>
      <c r="D811" s="163"/>
      <c r="E811" s="6"/>
      <c r="F811" s="6"/>
      <c r="G811" s="6"/>
      <c r="H811" s="6"/>
      <c r="I811" s="6"/>
    </row>
    <row r="812" customFormat="false" ht="15.75" hidden="false" customHeight="false" outlineLevel="0" collapsed="false">
      <c r="A812" s="128" t="n">
        <f aca="false">'🖐🏾 Human'!$A$152</f>
        <v>0</v>
      </c>
      <c r="B812" s="4" t="s">
        <v>15</v>
      </c>
      <c r="C812" s="129" t="str">
        <f aca="false">'🖐🏾 Human'!C152</f>
        <v>Heading</v>
      </c>
      <c r="D812" s="163" t="n">
        <f aca="false">'🖐🏾 Human'!E152</f>
        <v>1</v>
      </c>
      <c r="E812" s="129" t="n">
        <f aca="false">'🖐🏾 Human'!F152</f>
        <v>0</v>
      </c>
      <c r="F812" s="129" t="n">
        <f aca="false">'🖐🏾 Human'!G152</f>
        <v>0</v>
      </c>
      <c r="G812" s="129" t="n">
        <f aca="false">'🖐🏾 Human'!H152</f>
        <v>0</v>
      </c>
      <c r="H812" s="129" t="n">
        <f aca="false">'🖐🏾 Human'!I152</f>
        <v>0</v>
      </c>
      <c r="I812" s="129" t="n">
        <f aca="false">'🖐🏾 Human'!J152</f>
        <v>0</v>
      </c>
    </row>
    <row r="813" customFormat="false" ht="15.75" hidden="false" customHeight="false" outlineLevel="0" collapsed="false">
      <c r="A813" s="128" t="n">
        <f aca="false">'🖐🏾 Human'!$A$152</f>
        <v>0</v>
      </c>
      <c r="B813" s="4" t="s">
        <v>15</v>
      </c>
      <c r="C813" s="129" t="n">
        <f aca="false">'🖐🏾 Human'!C153</f>
        <v>0</v>
      </c>
      <c r="D813" s="163" t="n">
        <f aca="false">'🖐🏾 Human'!E153</f>
        <v>1</v>
      </c>
      <c r="E813" s="129" t="n">
        <f aca="false">'🖐🏾 Human'!F153</f>
        <v>0</v>
      </c>
      <c r="F813" s="129" t="n">
        <f aca="false">'🖐🏾 Human'!G153</f>
        <v>0</v>
      </c>
      <c r="G813" s="129" t="n">
        <f aca="false">'🖐🏾 Human'!H153</f>
        <v>0</v>
      </c>
      <c r="H813" s="129" t="n">
        <f aca="false">'🖐🏾 Human'!I153</f>
        <v>0</v>
      </c>
      <c r="I813" s="129" t="n">
        <f aca="false">'🖐🏾 Human'!J153</f>
        <v>0</v>
      </c>
    </row>
    <row r="814" customFormat="false" ht="15.75" hidden="false" customHeight="false" outlineLevel="0" collapsed="false">
      <c r="A814" s="128" t="n">
        <f aca="false">'🖐🏾 Human'!$A$152</f>
        <v>0</v>
      </c>
      <c r="B814" s="4" t="s">
        <v>15</v>
      </c>
      <c r="C814" s="129" t="n">
        <f aca="false">'🖐🏾 Human'!C154</f>
        <v>0</v>
      </c>
      <c r="D814" s="163" t="n">
        <f aca="false">'🖐🏾 Human'!E154</f>
        <v>1</v>
      </c>
      <c r="E814" s="129" t="n">
        <f aca="false">'🖐🏾 Human'!F154</f>
        <v>0</v>
      </c>
      <c r="F814" s="129" t="n">
        <f aca="false">'🖐🏾 Human'!G154</f>
        <v>0</v>
      </c>
      <c r="G814" s="129" t="n">
        <f aca="false">'🖐🏾 Human'!H154</f>
        <v>0</v>
      </c>
      <c r="H814" s="129" t="n">
        <f aca="false">'🖐🏾 Human'!I154</f>
        <v>0</v>
      </c>
      <c r="I814" s="129" t="n">
        <f aca="false">'🖐🏾 Human'!J154</f>
        <v>0</v>
      </c>
    </row>
    <row r="815" customFormat="false" ht="15.75" hidden="false" customHeight="false" outlineLevel="0" collapsed="false">
      <c r="A815" s="128" t="n">
        <f aca="false">'🖐🏾 Human'!$A$152</f>
        <v>0</v>
      </c>
      <c r="B815" s="4" t="s">
        <v>15</v>
      </c>
      <c r="C815" s="129" t="n">
        <f aca="false">'🖐🏾 Human'!C155</f>
        <v>0</v>
      </c>
      <c r="D815" s="163" t="n">
        <f aca="false">'🖐🏾 Human'!E155</f>
        <v>1</v>
      </c>
      <c r="E815" s="129" t="n">
        <f aca="false">'🖐🏾 Human'!F155</f>
        <v>0</v>
      </c>
      <c r="F815" s="129" t="n">
        <f aca="false">'🖐🏾 Human'!G155</f>
        <v>0</v>
      </c>
      <c r="G815" s="129" t="n">
        <f aca="false">'🖐🏾 Human'!H155</f>
        <v>0</v>
      </c>
      <c r="H815" s="129" t="n">
        <f aca="false">'🖐🏾 Human'!I155</f>
        <v>0</v>
      </c>
      <c r="I815" s="129" t="n">
        <f aca="false">'🖐🏾 Human'!J155</f>
        <v>0</v>
      </c>
    </row>
    <row r="816" customFormat="false" ht="15.75" hidden="false" customHeight="false" outlineLevel="0" collapsed="false">
      <c r="A816" s="128"/>
      <c r="B816" s="4"/>
      <c r="C816" s="6"/>
      <c r="D816" s="163"/>
      <c r="E816" s="6"/>
      <c r="F816" s="6"/>
      <c r="G816" s="6"/>
      <c r="H816" s="6"/>
      <c r="I816" s="6"/>
    </row>
    <row r="817" customFormat="false" ht="15.75" hidden="false" customHeight="false" outlineLevel="0" collapsed="false">
      <c r="A817" s="128" t="n">
        <f aca="false">'🖐🏾 Human'!$A$157</f>
        <v>0</v>
      </c>
      <c r="B817" s="4" t="s">
        <v>15</v>
      </c>
      <c r="C817" s="129" t="str">
        <f aca="false">'🖐🏾 Human'!C157</f>
        <v>Heading</v>
      </c>
      <c r="D817" s="163" t="n">
        <f aca="false">'🖐🏾 Human'!E157</f>
        <v>1</v>
      </c>
      <c r="E817" s="129" t="n">
        <f aca="false">'🖐🏾 Human'!F157</f>
        <v>0</v>
      </c>
      <c r="F817" s="129" t="n">
        <f aca="false">'🖐🏾 Human'!G157</f>
        <v>0</v>
      </c>
      <c r="G817" s="129" t="n">
        <f aca="false">'🖐🏾 Human'!H157</f>
        <v>0</v>
      </c>
      <c r="H817" s="129" t="n">
        <f aca="false">'🖐🏾 Human'!I157</f>
        <v>0</v>
      </c>
      <c r="I817" s="129" t="n">
        <f aca="false">'🖐🏾 Human'!J157</f>
        <v>0</v>
      </c>
    </row>
    <row r="818" customFormat="false" ht="15.75" hidden="false" customHeight="false" outlineLevel="0" collapsed="false">
      <c r="A818" s="128" t="n">
        <f aca="false">'🖐🏾 Human'!$A$157</f>
        <v>0</v>
      </c>
      <c r="B818" s="4" t="s">
        <v>15</v>
      </c>
      <c r="C818" s="129" t="n">
        <f aca="false">'🖐🏾 Human'!C158</f>
        <v>0</v>
      </c>
      <c r="D818" s="163" t="n">
        <f aca="false">'🖐🏾 Human'!E158</f>
        <v>1</v>
      </c>
      <c r="E818" s="129" t="n">
        <f aca="false">'🖐🏾 Human'!F158</f>
        <v>0</v>
      </c>
      <c r="F818" s="129" t="n">
        <f aca="false">'🖐🏾 Human'!G158</f>
        <v>0</v>
      </c>
      <c r="G818" s="129" t="n">
        <f aca="false">'🖐🏾 Human'!H158</f>
        <v>0</v>
      </c>
      <c r="H818" s="129" t="n">
        <f aca="false">'🖐🏾 Human'!I158</f>
        <v>0</v>
      </c>
      <c r="I818" s="129" t="n">
        <f aca="false">'🖐🏾 Human'!J158</f>
        <v>0</v>
      </c>
    </row>
    <row r="819" customFormat="false" ht="15.75" hidden="false" customHeight="false" outlineLevel="0" collapsed="false">
      <c r="A819" s="128" t="n">
        <f aca="false">'🖐🏾 Human'!$A$157</f>
        <v>0</v>
      </c>
      <c r="B819" s="4" t="s">
        <v>15</v>
      </c>
      <c r="C819" s="129" t="n">
        <f aca="false">'🖐🏾 Human'!C159</f>
        <v>0</v>
      </c>
      <c r="D819" s="163" t="n">
        <f aca="false">'🖐🏾 Human'!E159</f>
        <v>1</v>
      </c>
      <c r="E819" s="129" t="n">
        <f aca="false">'🖐🏾 Human'!F159</f>
        <v>0</v>
      </c>
      <c r="F819" s="129" t="n">
        <f aca="false">'🖐🏾 Human'!G159</f>
        <v>0</v>
      </c>
      <c r="G819" s="129" t="n">
        <f aca="false">'🖐🏾 Human'!H159</f>
        <v>0</v>
      </c>
      <c r="H819" s="129" t="n">
        <f aca="false">'🖐🏾 Human'!I159</f>
        <v>0</v>
      </c>
      <c r="I819" s="129" t="n">
        <f aca="false">'🖐🏾 Human'!J159</f>
        <v>0</v>
      </c>
    </row>
    <row r="820" customFormat="false" ht="15.75" hidden="false" customHeight="false" outlineLevel="0" collapsed="false">
      <c r="A820" s="128" t="n">
        <f aca="false">'🖐🏾 Human'!$A$157</f>
        <v>0</v>
      </c>
      <c r="B820" s="4" t="s">
        <v>15</v>
      </c>
      <c r="C820" s="129" t="n">
        <f aca="false">'🖐🏾 Human'!C160</f>
        <v>0</v>
      </c>
      <c r="D820" s="163" t="n">
        <f aca="false">'🖐🏾 Human'!E160</f>
        <v>1</v>
      </c>
      <c r="E820" s="129" t="n">
        <f aca="false">'🖐🏾 Human'!F160</f>
        <v>0</v>
      </c>
      <c r="F820" s="129" t="n">
        <f aca="false">'🖐🏾 Human'!G160</f>
        <v>0</v>
      </c>
      <c r="G820" s="129" t="n">
        <f aca="false">'🖐🏾 Human'!H160</f>
        <v>0</v>
      </c>
      <c r="H820" s="129" t="n">
        <f aca="false">'🖐🏾 Human'!I160</f>
        <v>0</v>
      </c>
      <c r="I820" s="129" t="n">
        <f aca="false">'🖐🏾 Human'!J160</f>
        <v>0</v>
      </c>
    </row>
    <row r="821" customFormat="false" ht="15.75" hidden="false" customHeight="false" outlineLevel="0" collapsed="false">
      <c r="A821" s="128"/>
      <c r="B821" s="4"/>
      <c r="C821" s="6"/>
      <c r="D821" s="163"/>
      <c r="E821" s="6"/>
      <c r="F821" s="6"/>
      <c r="G821" s="6"/>
      <c r="H821" s="6"/>
      <c r="I821" s="6"/>
    </row>
    <row r="822" customFormat="false" ht="15.75" hidden="false" customHeight="false" outlineLevel="0" collapsed="false">
      <c r="A822" s="128" t="n">
        <f aca="false">'🖐🏾 Human'!$A$162</f>
        <v>0</v>
      </c>
      <c r="B822" s="4" t="s">
        <v>15</v>
      </c>
      <c r="C822" s="129" t="str">
        <f aca="false">'🖐🏾 Human'!C162</f>
        <v>Heading</v>
      </c>
      <c r="D822" s="163" t="n">
        <f aca="false">'🖐🏾 Human'!E162</f>
        <v>1</v>
      </c>
      <c r="E822" s="129" t="n">
        <f aca="false">'🖐🏾 Human'!F162</f>
        <v>0</v>
      </c>
      <c r="F822" s="129" t="n">
        <f aca="false">'🖐🏾 Human'!G162</f>
        <v>0</v>
      </c>
      <c r="G822" s="129" t="n">
        <f aca="false">'🖐🏾 Human'!H162</f>
        <v>0</v>
      </c>
      <c r="H822" s="129" t="n">
        <f aca="false">'🖐🏾 Human'!I162</f>
        <v>0</v>
      </c>
      <c r="I822" s="129" t="n">
        <f aca="false">'🖐🏾 Human'!J162</f>
        <v>0</v>
      </c>
    </row>
    <row r="823" customFormat="false" ht="15.75" hidden="false" customHeight="false" outlineLevel="0" collapsed="false">
      <c r="A823" s="128" t="n">
        <f aca="false">'🖐🏾 Human'!$A$162</f>
        <v>0</v>
      </c>
      <c r="B823" s="4" t="s">
        <v>15</v>
      </c>
      <c r="C823" s="129" t="n">
        <f aca="false">'🖐🏾 Human'!C163</f>
        <v>0</v>
      </c>
      <c r="D823" s="163" t="n">
        <f aca="false">'🖐🏾 Human'!E163</f>
        <v>1</v>
      </c>
      <c r="E823" s="129" t="n">
        <f aca="false">'🖐🏾 Human'!F163</f>
        <v>0</v>
      </c>
      <c r="F823" s="129" t="n">
        <f aca="false">'🖐🏾 Human'!G163</f>
        <v>0</v>
      </c>
      <c r="G823" s="129" t="n">
        <f aca="false">'🖐🏾 Human'!H163</f>
        <v>0</v>
      </c>
      <c r="H823" s="129" t="n">
        <f aca="false">'🖐🏾 Human'!I163</f>
        <v>0</v>
      </c>
      <c r="I823" s="129" t="n">
        <f aca="false">'🖐🏾 Human'!J163</f>
        <v>0</v>
      </c>
    </row>
    <row r="824" customFormat="false" ht="15.75" hidden="false" customHeight="false" outlineLevel="0" collapsed="false">
      <c r="A824" s="128" t="n">
        <f aca="false">'🖐🏾 Human'!$A$162</f>
        <v>0</v>
      </c>
      <c r="B824" s="4" t="s">
        <v>15</v>
      </c>
      <c r="C824" s="129" t="n">
        <f aca="false">'🖐🏾 Human'!C164</f>
        <v>0</v>
      </c>
      <c r="D824" s="163" t="n">
        <f aca="false">'🖐🏾 Human'!E164</f>
        <v>1</v>
      </c>
      <c r="E824" s="129" t="n">
        <f aca="false">'🖐🏾 Human'!F164</f>
        <v>0</v>
      </c>
      <c r="F824" s="129" t="n">
        <f aca="false">'🖐🏾 Human'!G164</f>
        <v>0</v>
      </c>
      <c r="G824" s="129" t="n">
        <f aca="false">'🖐🏾 Human'!H164</f>
        <v>0</v>
      </c>
      <c r="H824" s="129" t="n">
        <f aca="false">'🖐🏾 Human'!I164</f>
        <v>0</v>
      </c>
      <c r="I824" s="129" t="n">
        <f aca="false">'🖐🏾 Human'!J164</f>
        <v>0</v>
      </c>
    </row>
    <row r="825" customFormat="false" ht="15.75" hidden="false" customHeight="false" outlineLevel="0" collapsed="false">
      <c r="A825" s="128" t="n">
        <f aca="false">'🖐🏾 Human'!$A$162</f>
        <v>0</v>
      </c>
      <c r="B825" s="4" t="s">
        <v>15</v>
      </c>
      <c r="C825" s="129" t="n">
        <f aca="false">'🖐🏾 Human'!C165</f>
        <v>0</v>
      </c>
      <c r="D825" s="163" t="n">
        <f aca="false">'🖐🏾 Human'!E165</f>
        <v>1</v>
      </c>
      <c r="E825" s="129" t="n">
        <f aca="false">'🖐🏾 Human'!F165</f>
        <v>0</v>
      </c>
      <c r="F825" s="129" t="n">
        <f aca="false">'🖐🏾 Human'!G165</f>
        <v>0</v>
      </c>
      <c r="G825" s="129" t="n">
        <f aca="false">'🖐🏾 Human'!H165</f>
        <v>0</v>
      </c>
      <c r="H825" s="129" t="n">
        <f aca="false">'🖐🏾 Human'!I165</f>
        <v>0</v>
      </c>
      <c r="I825" s="129" t="n">
        <f aca="false">'🖐🏾 Human'!J165</f>
        <v>0</v>
      </c>
    </row>
    <row r="826" customFormat="false" ht="15.75" hidden="false" customHeight="false" outlineLevel="0" collapsed="false">
      <c r="A826" s="9"/>
      <c r="B826" s="9"/>
      <c r="C826" s="51"/>
      <c r="D826" s="9"/>
      <c r="E826" s="51"/>
      <c r="F826" s="51"/>
      <c r="G826" s="51"/>
      <c r="H826" s="51"/>
      <c r="I826" s="51"/>
    </row>
    <row r="827" customFormat="false" ht="15.75" hidden="false" customHeight="false" outlineLevel="0" collapsed="false">
      <c r="A827" s="128" t="str">
        <f aca="false">'🤖 Llama-3.1-70b-instruct'!$A$2</f>
        <v>https://www.berria.eus/kirola/hau-badakit-egunen-batean-aterako-da-barruan-dudan-jokoa_2123931_102.html</v>
      </c>
      <c r="B827" s="9" t="s">
        <v>24</v>
      </c>
      <c r="C827" s="129" t="str">
        <f aca="false">'🤖 Llama-3.1-70b-instruct'!C2</f>
        <v>Base</v>
      </c>
      <c r="D827" s="135" t="n">
        <f aca="false">'🤖 Llama-3.1-70b-instruct'!E2</f>
        <v>0.3434099154</v>
      </c>
      <c r="E827" s="183" t="n">
        <f aca="false">'🤖 Llama-3.1-70b-instruct'!F2</f>
        <v>2</v>
      </c>
      <c r="F827" s="183" t="n">
        <f aca="false">'🤖 Llama-3.1-70b-instruct'!G2</f>
        <v>3</v>
      </c>
      <c r="G827" s="183" t="n">
        <f aca="false">'🤖 Llama-3.1-70b-instruct'!H2</f>
        <v>3</v>
      </c>
      <c r="H827" s="183" t="n">
        <f aca="false">'🤖 Llama-3.1-70b-instruct'!I2</f>
        <v>3</v>
      </c>
      <c r="I827" s="183" t="n">
        <f aca="false">'🤖 Llama-3.1-70b-instruct'!J2</f>
        <v>3</v>
      </c>
    </row>
    <row r="828" customFormat="false" ht="15.75" hidden="false" customHeight="false" outlineLevel="0" collapsed="false">
      <c r="A828" s="128" t="str">
        <f aca="false">'🤖 Llama-3.1-70b-instruct'!$A$2</f>
        <v>https://www.berria.eus/kirola/hau-badakit-egunen-batean-aterako-da-barruan-dudan-jokoa_2123931_102.html</v>
      </c>
      <c r="B828" s="9" t="s">
        <v>24</v>
      </c>
      <c r="C828" s="129" t="str">
        <f aca="false">'🤖 Llama-3.1-70b-instruct'!C3</f>
        <v>CoT</v>
      </c>
      <c r="D828" s="163" t="n">
        <f aca="false">'🤖 Llama-3.1-70b-instruct'!E3</f>
        <v>0.07376058041</v>
      </c>
      <c r="E828" s="183" t="n">
        <f aca="false">'🤖 Llama-3.1-70b-instruct'!F3</f>
        <v>4</v>
      </c>
      <c r="F828" s="183" t="n">
        <f aca="false">'🤖 Llama-3.1-70b-instruct'!G3</f>
        <v>4</v>
      </c>
      <c r="G828" s="183" t="n">
        <f aca="false">'🤖 Llama-3.1-70b-instruct'!H3</f>
        <v>3</v>
      </c>
      <c r="H828" s="183" t="n">
        <f aca="false">'🤖 Llama-3.1-70b-instruct'!I3</f>
        <v>3</v>
      </c>
      <c r="I828" s="183" t="n">
        <f aca="false">'🤖 Llama-3.1-70b-instruct'!J3</f>
        <v>2</v>
      </c>
    </row>
    <row r="829" customFormat="false" ht="15.75" hidden="false" customHeight="false" outlineLevel="0" collapsed="false">
      <c r="A829" s="128" t="str">
        <f aca="false">'🤖 Llama-3.1-70b-instruct'!$A$2</f>
        <v>https://www.berria.eus/kirola/hau-badakit-egunen-batean-aterako-da-barruan-dudan-jokoa_2123931_102.html</v>
      </c>
      <c r="B829" s="9" t="s">
        <v>24</v>
      </c>
      <c r="C829" s="129" t="str">
        <f aca="false">'🤖 Llama-3.1-70b-instruct'!C4</f>
        <v>5W1H</v>
      </c>
      <c r="D829" s="133" t="n">
        <f aca="false">'🤖 Llama-3.1-70b-instruct'!E4</f>
        <v>0.07255139057</v>
      </c>
      <c r="E829" s="183" t="n">
        <f aca="false">'🤖 Llama-3.1-70b-instruct'!F4</f>
        <v>3</v>
      </c>
      <c r="F829" s="183" t="n">
        <f aca="false">'🤖 Llama-3.1-70b-instruct'!G4</f>
        <v>5</v>
      </c>
      <c r="G829" s="183" t="n">
        <f aca="false">'🤖 Llama-3.1-70b-instruct'!H4</f>
        <v>4</v>
      </c>
      <c r="H829" s="183" t="n">
        <f aca="false">'🤖 Llama-3.1-70b-instruct'!I4</f>
        <v>4</v>
      </c>
      <c r="I829" s="183" t="n">
        <f aca="false">'🤖 Llama-3.1-70b-instruct'!J4</f>
        <v>4</v>
      </c>
    </row>
    <row r="830" customFormat="false" ht="15.75" hidden="false" customHeight="false" outlineLevel="0" collapsed="false">
      <c r="A830" s="128" t="str">
        <f aca="false">'🤖 Llama-3.1-70b-instruct'!$A$2</f>
        <v>https://www.berria.eus/kirola/hau-badakit-egunen-batean-aterako-da-barruan-dudan-jokoa_2123931_102.html</v>
      </c>
      <c r="B830" s="9" t="s">
        <v>24</v>
      </c>
      <c r="C830" s="129" t="str">
        <f aca="false">'🤖 Llama-3.1-70b-instruct'!C5</f>
        <v>tldr</v>
      </c>
      <c r="D830" s="184" t="n">
        <f aca="false">'🤖 Llama-3.1-70b-instruct'!E5</f>
        <v>0.130592503</v>
      </c>
      <c r="E830" s="183" t="n">
        <f aca="false">'🤖 Llama-3.1-70b-instruct'!F5</f>
        <v>4</v>
      </c>
      <c r="F830" s="183" t="n">
        <f aca="false">'🤖 Llama-3.1-70b-instruct'!G5</f>
        <v>4</v>
      </c>
      <c r="G830" s="183" t="n">
        <f aca="false">'🤖 Llama-3.1-70b-instruct'!H5</f>
        <v>3</v>
      </c>
      <c r="H830" s="183" t="n">
        <f aca="false">'🤖 Llama-3.1-70b-instruct'!I5</f>
        <v>5</v>
      </c>
      <c r="I830" s="183" t="n">
        <f aca="false">'🤖 Llama-3.1-70b-instruct'!J5</f>
        <v>3</v>
      </c>
    </row>
    <row r="831" customFormat="false" ht="15.75" hidden="false" customHeight="false" outlineLevel="0" collapsed="false">
      <c r="A831" s="9"/>
      <c r="B831" s="9"/>
      <c r="C831" s="51"/>
      <c r="D831" s="9"/>
      <c r="E831" s="9"/>
      <c r="F831" s="9"/>
      <c r="G831" s="9"/>
      <c r="H831" s="9"/>
      <c r="I831" s="9"/>
    </row>
    <row r="832" customFormat="false" ht="15.75" hidden="false" customHeight="false" outlineLevel="0" collapsed="false">
      <c r="A832" s="128" t="str">
        <f aca="false">'🤖 Llama-3.1-70b-instruct'!$A$7</f>
        <v>https://www.berria.eus/ekonomia/kutxabankek-2116-euro-bideratu-zituen-karbono-gutxiko-proiektuak-finantzatzera_2120192_102.html</v>
      </c>
      <c r="B832" s="9" t="s">
        <v>24</v>
      </c>
      <c r="C832" s="129" t="str">
        <f aca="false">'🤖 Llama-3.1-70b-instruct'!C7</f>
        <v>Base</v>
      </c>
      <c r="D832" s="157" t="n">
        <f aca="false">'🤖 Llama-3.1-70b-instruct'!E7</f>
        <v>0.1102362205</v>
      </c>
      <c r="E832" s="183" t="n">
        <f aca="false">'🤖 Llama-3.1-70b-instruct'!F7</f>
        <v>5</v>
      </c>
      <c r="F832" s="183" t="n">
        <f aca="false">'🤖 Llama-3.1-70b-instruct'!G7</f>
        <v>5</v>
      </c>
      <c r="G832" s="183" t="n">
        <f aca="false">'🤖 Llama-3.1-70b-instruct'!H7</f>
        <v>5</v>
      </c>
      <c r="H832" s="183" t="n">
        <f aca="false">'🤖 Llama-3.1-70b-instruct'!I7</f>
        <v>5</v>
      </c>
      <c r="I832" s="183" t="n">
        <f aca="false">'🤖 Llama-3.1-70b-instruct'!J7</f>
        <v>3</v>
      </c>
    </row>
    <row r="833" customFormat="false" ht="15.75" hidden="false" customHeight="false" outlineLevel="0" collapsed="false">
      <c r="A833" s="128" t="str">
        <f aca="false">'🤖 Llama-3.1-70b-instruct'!$A$7</f>
        <v>https://www.berria.eus/ekonomia/kutxabankek-2116-euro-bideratu-zituen-karbono-gutxiko-proiektuak-finantzatzera_2120192_102.html</v>
      </c>
      <c r="B833" s="9" t="s">
        <v>24</v>
      </c>
      <c r="C833" s="129" t="str">
        <f aca="false">'🤖 Llama-3.1-70b-instruct'!C8</f>
        <v>CoT</v>
      </c>
      <c r="D833" s="157" t="n">
        <f aca="false">'🤖 Llama-3.1-70b-instruct'!E8</f>
        <v>0.1732283465</v>
      </c>
      <c r="E833" s="183" t="n">
        <f aca="false">'🤖 Llama-3.1-70b-instruct'!F8</f>
        <v>5</v>
      </c>
      <c r="F833" s="183" t="n">
        <f aca="false">'🤖 Llama-3.1-70b-instruct'!G8</f>
        <v>5</v>
      </c>
      <c r="G833" s="183" t="n">
        <f aca="false">'🤖 Llama-3.1-70b-instruct'!H8</f>
        <v>5</v>
      </c>
      <c r="H833" s="183" t="n">
        <f aca="false">'🤖 Llama-3.1-70b-instruct'!I8</f>
        <v>4</v>
      </c>
      <c r="I833" s="183" t="n">
        <f aca="false">'🤖 Llama-3.1-70b-instruct'!J8</f>
        <v>3</v>
      </c>
    </row>
    <row r="834" customFormat="false" ht="15.75" hidden="false" customHeight="false" outlineLevel="0" collapsed="false">
      <c r="A834" s="128" t="str">
        <f aca="false">'🤖 Llama-3.1-70b-instruct'!$A$7</f>
        <v>https://www.berria.eus/ekonomia/kutxabankek-2116-euro-bideratu-zituen-karbono-gutxiko-proiektuak-finantzatzera_2120192_102.html</v>
      </c>
      <c r="B834" s="9" t="s">
        <v>24</v>
      </c>
      <c r="C834" s="129" t="str">
        <f aca="false">'🤖 Llama-3.1-70b-instruct'!C9</f>
        <v>5W1H</v>
      </c>
      <c r="D834" s="130" t="n">
        <f aca="false">'🤖 Llama-3.1-70b-instruct'!E9</f>
        <v>0.3779527559</v>
      </c>
      <c r="E834" s="183" t="n">
        <f aca="false">'🤖 Llama-3.1-70b-instruct'!F9</f>
        <v>3</v>
      </c>
      <c r="F834" s="183" t="n">
        <f aca="false">'🤖 Llama-3.1-70b-instruct'!G9</f>
        <v>5</v>
      </c>
      <c r="G834" s="183" t="n">
        <f aca="false">'🤖 Llama-3.1-70b-instruct'!H9</f>
        <v>5</v>
      </c>
      <c r="H834" s="183" t="n">
        <f aca="false">'🤖 Llama-3.1-70b-instruct'!I9</f>
        <v>4</v>
      </c>
      <c r="I834" s="183" t="n">
        <f aca="false">'🤖 Llama-3.1-70b-instruct'!J9</f>
        <v>5</v>
      </c>
    </row>
    <row r="835" customFormat="false" ht="15.75" hidden="false" customHeight="false" outlineLevel="0" collapsed="false">
      <c r="A835" s="128" t="str">
        <f aca="false">'🤖 Llama-3.1-70b-instruct'!$A$7</f>
        <v>https://www.berria.eus/ekonomia/kutxabankek-2116-euro-bideratu-zituen-karbono-gutxiko-proiektuak-finantzatzera_2120192_102.html</v>
      </c>
      <c r="B835" s="9" t="s">
        <v>24</v>
      </c>
      <c r="C835" s="129" t="str">
        <f aca="false">'🤖 Llama-3.1-70b-instruct'!C10</f>
        <v>tldr</v>
      </c>
      <c r="D835" s="136" t="n">
        <f aca="false">'🤖 Llama-3.1-70b-instruct'!E10</f>
        <v>0.2834645669</v>
      </c>
      <c r="E835" s="183" t="n">
        <f aca="false">'🤖 Llama-3.1-70b-instruct'!F10</f>
        <v>4</v>
      </c>
      <c r="F835" s="183" t="n">
        <f aca="false">'🤖 Llama-3.1-70b-instruct'!G10</f>
        <v>5</v>
      </c>
      <c r="G835" s="183" t="n">
        <f aca="false">'🤖 Llama-3.1-70b-instruct'!H10</f>
        <v>4</v>
      </c>
      <c r="H835" s="183" t="n">
        <f aca="false">'🤖 Llama-3.1-70b-instruct'!I10</f>
        <v>5</v>
      </c>
      <c r="I835" s="183" t="n">
        <f aca="false">'🤖 Llama-3.1-70b-instruct'!J10</f>
        <v>5</v>
      </c>
    </row>
    <row r="836" customFormat="false" ht="15.75" hidden="false" customHeight="false" outlineLevel="0" collapsed="false">
      <c r="A836" s="9"/>
      <c r="B836" s="9"/>
      <c r="C836" s="51"/>
      <c r="D836" s="9"/>
      <c r="E836" s="9"/>
      <c r="F836" s="9"/>
      <c r="G836" s="9"/>
      <c r="H836" s="9"/>
      <c r="I836" s="9"/>
    </row>
    <row r="837" customFormat="false" ht="15.75" hidden="false" customHeight="false" outlineLevel="0" collapsed="false">
      <c r="A837" s="128" t="str">
        <f aca="false">'🤖 Llama-3.1-70b-instruct'!$A$12</f>
        <v>https://www.berria.eus/bizigiro/tradizioa-eta-abangoardia_2126379_102.html</v>
      </c>
      <c r="B837" s="9" t="s">
        <v>24</v>
      </c>
      <c r="C837" s="129" t="str">
        <f aca="false">'🤖 Llama-3.1-70b-instruct'!C12</f>
        <v>Base</v>
      </c>
      <c r="D837" s="155" t="n">
        <f aca="false">'🤖 Llama-3.1-70b-instruct'!E12</f>
        <v>0.06842105263</v>
      </c>
      <c r="E837" s="183" t="n">
        <f aca="false">'🤖 Llama-3.1-70b-instruct'!F12</f>
        <v>4</v>
      </c>
      <c r="F837" s="183" t="n">
        <f aca="false">'🤖 Llama-3.1-70b-instruct'!G12</f>
        <v>5</v>
      </c>
      <c r="G837" s="183" t="n">
        <f aca="false">'🤖 Llama-3.1-70b-instruct'!H12</f>
        <v>3</v>
      </c>
      <c r="H837" s="183" t="n">
        <f aca="false">'🤖 Llama-3.1-70b-instruct'!I12</f>
        <v>5</v>
      </c>
      <c r="I837" s="183" t="n">
        <f aca="false">'🤖 Llama-3.1-70b-instruct'!J12</f>
        <v>2</v>
      </c>
    </row>
    <row r="838" customFormat="false" ht="15.75" hidden="false" customHeight="false" outlineLevel="0" collapsed="false">
      <c r="A838" s="128" t="str">
        <f aca="false">'🤖 Llama-3.1-70b-instruct'!$A$12</f>
        <v>https://www.berria.eus/bizigiro/tradizioa-eta-abangoardia_2126379_102.html</v>
      </c>
      <c r="B838" s="9" t="s">
        <v>24</v>
      </c>
      <c r="C838" s="129" t="str">
        <f aca="false">'🤖 Llama-3.1-70b-instruct'!C13</f>
        <v>CoT</v>
      </c>
      <c r="D838" s="157" t="n">
        <f aca="false">'🤖 Llama-3.1-70b-instruct'!E13</f>
        <v>0.1105263158</v>
      </c>
      <c r="E838" s="183" t="n">
        <f aca="false">'🤖 Llama-3.1-70b-instruct'!F13</f>
        <v>4</v>
      </c>
      <c r="F838" s="183" t="n">
        <f aca="false">'🤖 Llama-3.1-70b-instruct'!G13</f>
        <v>5</v>
      </c>
      <c r="G838" s="183" t="n">
        <f aca="false">'🤖 Llama-3.1-70b-instruct'!H13</f>
        <v>4</v>
      </c>
      <c r="H838" s="183" t="n">
        <f aca="false">'🤖 Llama-3.1-70b-instruct'!I13</f>
        <v>4</v>
      </c>
      <c r="I838" s="183" t="n">
        <f aca="false">'🤖 Llama-3.1-70b-instruct'!J13</f>
        <v>2</v>
      </c>
    </row>
    <row r="839" customFormat="false" ht="15.75" hidden="false" customHeight="false" outlineLevel="0" collapsed="false">
      <c r="A839" s="128" t="str">
        <f aca="false">'🤖 Llama-3.1-70b-instruct'!$A$12</f>
        <v>https://www.berria.eus/bizigiro/tradizioa-eta-abangoardia_2126379_102.html</v>
      </c>
      <c r="B839" s="9" t="s">
        <v>24</v>
      </c>
      <c r="C839" s="129" t="str">
        <f aca="false">'🤖 Llama-3.1-70b-instruct'!C14</f>
        <v>5W1H</v>
      </c>
      <c r="D839" s="143" t="n">
        <f aca="false">'🤖 Llama-3.1-70b-instruct'!E14</f>
        <v>0.1631578947</v>
      </c>
      <c r="E839" s="183" t="n">
        <f aca="false">'🤖 Llama-3.1-70b-instruct'!F14</f>
        <v>3</v>
      </c>
      <c r="F839" s="183" t="n">
        <f aca="false">'🤖 Llama-3.1-70b-instruct'!G14</f>
        <v>4</v>
      </c>
      <c r="G839" s="183" t="n">
        <f aca="false">'🤖 Llama-3.1-70b-instruct'!H14</f>
        <v>5</v>
      </c>
      <c r="H839" s="183" t="n">
        <f aca="false">'🤖 Llama-3.1-70b-instruct'!I14</f>
        <v>4</v>
      </c>
      <c r="I839" s="183" t="n">
        <f aca="false">'🤖 Llama-3.1-70b-instruct'!J14</f>
        <v>3</v>
      </c>
    </row>
    <row r="840" customFormat="false" ht="15.75" hidden="false" customHeight="false" outlineLevel="0" collapsed="false">
      <c r="A840" s="128" t="str">
        <f aca="false">'🤖 Llama-3.1-70b-instruct'!$A$12</f>
        <v>https://www.berria.eus/bizigiro/tradizioa-eta-abangoardia_2126379_102.html</v>
      </c>
      <c r="B840" s="9" t="s">
        <v>24</v>
      </c>
      <c r="C840" s="129" t="str">
        <f aca="false">'🤖 Llama-3.1-70b-instruct'!C15</f>
        <v>tldr</v>
      </c>
      <c r="D840" s="185" t="n">
        <f aca="false">'🤖 Llama-3.1-70b-instruct'!E15</f>
        <v>0.1473684211</v>
      </c>
      <c r="E840" s="183" t="n">
        <f aca="false">'🤖 Llama-3.1-70b-instruct'!F15</f>
        <v>4</v>
      </c>
      <c r="F840" s="183" t="n">
        <f aca="false">'🤖 Llama-3.1-70b-instruct'!G15</f>
        <v>5</v>
      </c>
      <c r="G840" s="183" t="n">
        <f aca="false">'🤖 Llama-3.1-70b-instruct'!H15</f>
        <v>4</v>
      </c>
      <c r="H840" s="183" t="n">
        <f aca="false">'🤖 Llama-3.1-70b-instruct'!I15</f>
        <v>5</v>
      </c>
      <c r="I840" s="183" t="n">
        <f aca="false">'🤖 Llama-3.1-70b-instruct'!J15</f>
        <v>4</v>
      </c>
    </row>
    <row r="841" customFormat="false" ht="15.75" hidden="false" customHeight="false" outlineLevel="0" collapsed="false">
      <c r="A841" s="9"/>
      <c r="B841" s="9"/>
      <c r="C841" s="51"/>
      <c r="D841" s="9"/>
      <c r="E841" s="9"/>
      <c r="F841" s="9"/>
      <c r="G841" s="9"/>
      <c r="H841" s="9"/>
      <c r="I841" s="9"/>
    </row>
    <row r="842" customFormat="false" ht="15.75" hidden="false" customHeight="false" outlineLevel="0" collapsed="false">
      <c r="A842" s="128" t="str">
        <f aca="false">'🤖 Llama-3.1-70b-instruct'!$A$17</f>
        <v>https://www.berria.eus/mundua/nbek-43-mila-milioi-euro-eskatu-ditu-datorren-urtean-laguntza-humanitarioa-bermatzeko_2117704_102.html</v>
      </c>
      <c r="B842" s="9" t="s">
        <v>24</v>
      </c>
      <c r="C842" s="129" t="str">
        <f aca="false">'🤖 Llama-3.1-70b-instruct'!C17</f>
        <v>Base</v>
      </c>
      <c r="D842" s="157" t="n">
        <f aca="false">'🤖 Llama-3.1-70b-instruct'!E17</f>
        <v>0.1118881119</v>
      </c>
      <c r="E842" s="183" t="n">
        <f aca="false">'🤖 Llama-3.1-70b-instruct'!F17</f>
        <v>4</v>
      </c>
      <c r="F842" s="183" t="n">
        <f aca="false">'🤖 Llama-3.1-70b-instruct'!G17</f>
        <v>5</v>
      </c>
      <c r="G842" s="183" t="n">
        <f aca="false">'🤖 Llama-3.1-70b-instruct'!H17</f>
        <v>3</v>
      </c>
      <c r="H842" s="183" t="n">
        <f aca="false">'🤖 Llama-3.1-70b-instruct'!I17</f>
        <v>5</v>
      </c>
      <c r="I842" s="183" t="n">
        <f aca="false">'🤖 Llama-3.1-70b-instruct'!J17</f>
        <v>4</v>
      </c>
    </row>
    <row r="843" customFormat="false" ht="15.75" hidden="false" customHeight="false" outlineLevel="0" collapsed="false">
      <c r="A843" s="128" t="str">
        <f aca="false">'🤖 Llama-3.1-70b-instruct'!$A$17</f>
        <v>https://www.berria.eus/mundua/nbek-43-mila-milioi-euro-eskatu-ditu-datorren-urtean-laguntza-humanitarioa-bermatzeko_2117704_102.html</v>
      </c>
      <c r="B843" s="9" t="s">
        <v>24</v>
      </c>
      <c r="C843" s="129" t="str">
        <f aca="false">'🤖 Llama-3.1-70b-instruct'!C18</f>
        <v>CoT</v>
      </c>
      <c r="D843" s="155" t="n">
        <f aca="false">'🤖 Llama-3.1-70b-instruct'!E18</f>
        <v>0.1433566434</v>
      </c>
      <c r="E843" s="183" t="n">
        <f aca="false">'🤖 Llama-3.1-70b-instruct'!F18</f>
        <v>4</v>
      </c>
      <c r="F843" s="183" t="n">
        <f aca="false">'🤖 Llama-3.1-70b-instruct'!G18</f>
        <v>4</v>
      </c>
      <c r="G843" s="183" t="n">
        <f aca="false">'🤖 Llama-3.1-70b-instruct'!H18</f>
        <v>3</v>
      </c>
      <c r="H843" s="183" t="n">
        <f aca="false">'🤖 Llama-3.1-70b-instruct'!I18</f>
        <v>5</v>
      </c>
      <c r="I843" s="183" t="n">
        <f aca="false">'🤖 Llama-3.1-70b-instruct'!J18</f>
        <v>4</v>
      </c>
    </row>
    <row r="844" customFormat="false" ht="15.75" hidden="false" customHeight="false" outlineLevel="0" collapsed="false">
      <c r="A844" s="128" t="str">
        <f aca="false">'🤖 Llama-3.1-70b-instruct'!$A$17</f>
        <v>https://www.berria.eus/mundua/nbek-43-mila-milioi-euro-eskatu-ditu-datorren-urtean-laguntza-humanitarioa-bermatzeko_2117704_102.html</v>
      </c>
      <c r="B844" s="9" t="s">
        <v>24</v>
      </c>
      <c r="C844" s="129" t="str">
        <f aca="false">'🤖 Llama-3.1-70b-instruct'!C19</f>
        <v>5W1H</v>
      </c>
      <c r="D844" s="151" t="n">
        <f aca="false">'🤖 Llama-3.1-70b-instruct'!E19</f>
        <v>0.1520979021</v>
      </c>
      <c r="E844" s="183" t="n">
        <f aca="false">'🤖 Llama-3.1-70b-instruct'!F19</f>
        <v>3</v>
      </c>
      <c r="F844" s="183" t="n">
        <f aca="false">'🤖 Llama-3.1-70b-instruct'!G19</f>
        <v>5</v>
      </c>
      <c r="G844" s="183" t="n">
        <f aca="false">'🤖 Llama-3.1-70b-instruct'!H19</f>
        <v>4</v>
      </c>
      <c r="H844" s="183" t="n">
        <f aca="false">'🤖 Llama-3.1-70b-instruct'!I19</f>
        <v>4</v>
      </c>
      <c r="I844" s="183" t="n">
        <f aca="false">'🤖 Llama-3.1-70b-instruct'!J19</f>
        <v>5</v>
      </c>
    </row>
    <row r="845" customFormat="false" ht="15.75" hidden="false" customHeight="false" outlineLevel="0" collapsed="false">
      <c r="A845" s="128" t="str">
        <f aca="false">'🤖 Llama-3.1-70b-instruct'!$A$17</f>
        <v>https://www.berria.eus/mundua/nbek-43-mila-milioi-euro-eskatu-ditu-datorren-urtean-laguntza-humanitarioa-bermatzeko_2117704_102.html</v>
      </c>
      <c r="B845" s="9" t="s">
        <v>24</v>
      </c>
      <c r="C845" s="129" t="str">
        <f aca="false">'🤖 Llama-3.1-70b-instruct'!C20</f>
        <v>tldr</v>
      </c>
      <c r="D845" s="138" t="n">
        <f aca="false">'🤖 Llama-3.1-70b-instruct'!E20</f>
        <v>0.1118881119</v>
      </c>
      <c r="E845" s="183" t="n">
        <f aca="false">'🤖 Llama-3.1-70b-instruct'!F20</f>
        <v>4</v>
      </c>
      <c r="F845" s="183" t="n">
        <f aca="false">'🤖 Llama-3.1-70b-instruct'!G20</f>
        <v>5</v>
      </c>
      <c r="G845" s="183" t="n">
        <f aca="false">'🤖 Llama-3.1-70b-instruct'!H20</f>
        <v>4</v>
      </c>
      <c r="H845" s="183" t="n">
        <f aca="false">'🤖 Llama-3.1-70b-instruct'!I20</f>
        <v>5</v>
      </c>
      <c r="I845" s="183" t="n">
        <f aca="false">'🤖 Llama-3.1-70b-instruct'!J20</f>
        <v>4</v>
      </c>
    </row>
    <row r="846" customFormat="false" ht="15.75" hidden="false" customHeight="false" outlineLevel="0" collapsed="false">
      <c r="A846" s="9"/>
      <c r="B846" s="9"/>
      <c r="C846" s="51"/>
      <c r="D846" s="9"/>
      <c r="E846" s="9"/>
      <c r="F846" s="9"/>
      <c r="G846" s="9"/>
      <c r="H846" s="9"/>
      <c r="I846" s="9"/>
    </row>
    <row r="847" customFormat="false" ht="15.75" hidden="false" customHeight="false" outlineLevel="0" collapsed="false">
      <c r="A847" s="128" t="str">
        <f aca="false">'🤖 Llama-3.1-70b-instruct'!$A$22</f>
        <v>https://www.berria.eus/kultura/umeak-amari-eman-dio-bidea_2124508_102.html</v>
      </c>
      <c r="B847" s="9" t="s">
        <v>24</v>
      </c>
      <c r="C847" s="129" t="str">
        <f aca="false">'🤖 Llama-3.1-70b-instruct'!C22</f>
        <v>Base</v>
      </c>
      <c r="D847" s="132" t="n">
        <f aca="false">'🤖 Llama-3.1-70b-instruct'!E22</f>
        <v>0.09677419355</v>
      </c>
      <c r="E847" s="183" t="n">
        <f aca="false">'🤖 Llama-3.1-70b-instruct'!F22</f>
        <v>4</v>
      </c>
      <c r="F847" s="183" t="n">
        <f aca="false">'🤖 Llama-3.1-70b-instruct'!G22</f>
        <v>5</v>
      </c>
      <c r="G847" s="183" t="n">
        <f aca="false">'🤖 Llama-3.1-70b-instruct'!H22</f>
        <v>5</v>
      </c>
      <c r="H847" s="183" t="n">
        <f aca="false">'🤖 Llama-3.1-70b-instruct'!I22</f>
        <v>5</v>
      </c>
      <c r="I847" s="183" t="n">
        <f aca="false">'🤖 Llama-3.1-70b-instruct'!J22</f>
        <v>3</v>
      </c>
    </row>
    <row r="848" customFormat="false" ht="15.75" hidden="false" customHeight="false" outlineLevel="0" collapsed="false">
      <c r="A848" s="128" t="str">
        <f aca="false">'🤖 Llama-3.1-70b-instruct'!$A$22</f>
        <v>https://www.berria.eus/kultura/umeak-amari-eman-dio-bidea_2124508_102.html</v>
      </c>
      <c r="B848" s="9" t="s">
        <v>24</v>
      </c>
      <c r="C848" s="129" t="str">
        <f aca="false">'🤖 Llama-3.1-70b-instruct'!C23</f>
        <v>CoT</v>
      </c>
      <c r="D848" s="185" t="n">
        <f aca="false">'🤖 Llama-3.1-70b-instruct'!E23</f>
        <v>0.1523297491</v>
      </c>
      <c r="E848" s="183" t="n">
        <f aca="false">'🤖 Llama-3.1-70b-instruct'!F23</f>
        <v>3</v>
      </c>
      <c r="F848" s="183" t="n">
        <f aca="false">'🤖 Llama-3.1-70b-instruct'!G23</f>
        <v>5</v>
      </c>
      <c r="G848" s="183" t="n">
        <f aca="false">'🤖 Llama-3.1-70b-instruct'!H23</f>
        <v>4</v>
      </c>
      <c r="H848" s="183" t="n">
        <f aca="false">'🤖 Llama-3.1-70b-instruct'!I23</f>
        <v>4</v>
      </c>
      <c r="I848" s="183" t="n">
        <f aca="false">'🤖 Llama-3.1-70b-instruct'!J23</f>
        <v>2</v>
      </c>
    </row>
    <row r="849" customFormat="false" ht="15.75" hidden="false" customHeight="false" outlineLevel="0" collapsed="false">
      <c r="A849" s="128" t="str">
        <f aca="false">'🤖 Llama-3.1-70b-instruct'!$A$22</f>
        <v>https://www.berria.eus/kultura/umeak-amari-eman-dio-bidea_2124508_102.html</v>
      </c>
      <c r="B849" s="9" t="s">
        <v>24</v>
      </c>
      <c r="C849" s="129" t="str">
        <f aca="false">'🤖 Llama-3.1-70b-instruct'!C24</f>
        <v>5W1H</v>
      </c>
      <c r="D849" s="136" t="n">
        <f aca="false">'🤖 Llama-3.1-70b-instruct'!E24</f>
        <v>0.1810035842</v>
      </c>
      <c r="E849" s="183" t="n">
        <f aca="false">'🤖 Llama-3.1-70b-instruct'!F24</f>
        <v>3</v>
      </c>
      <c r="F849" s="183" t="n">
        <f aca="false">'🤖 Llama-3.1-70b-instruct'!G24</f>
        <v>4</v>
      </c>
      <c r="G849" s="183" t="n">
        <f aca="false">'🤖 Llama-3.1-70b-instruct'!H24</f>
        <v>5</v>
      </c>
      <c r="H849" s="183" t="n">
        <f aca="false">'🤖 Llama-3.1-70b-instruct'!I24</f>
        <v>4</v>
      </c>
      <c r="I849" s="183" t="n">
        <f aca="false">'🤖 Llama-3.1-70b-instruct'!J24</f>
        <v>4</v>
      </c>
    </row>
    <row r="850" customFormat="false" ht="15.75" hidden="false" customHeight="false" outlineLevel="0" collapsed="false">
      <c r="A850" s="128" t="str">
        <f aca="false">'🤖 Llama-3.1-70b-instruct'!$A$22</f>
        <v>https://www.berria.eus/kultura/umeak-amari-eman-dio-bidea_2124508_102.html</v>
      </c>
      <c r="B850" s="9" t="s">
        <v>24</v>
      </c>
      <c r="C850" s="129" t="str">
        <f aca="false">'🤖 Llama-3.1-70b-instruct'!C25</f>
        <v>tldr</v>
      </c>
      <c r="D850" s="184" t="n">
        <f aca="false">'🤖 Llama-3.1-70b-instruct'!E25</f>
        <v>0.1254480287</v>
      </c>
      <c r="E850" s="183" t="n">
        <f aca="false">'🤖 Llama-3.1-70b-instruct'!F25</f>
        <v>4</v>
      </c>
      <c r="F850" s="183" t="n">
        <f aca="false">'🤖 Llama-3.1-70b-instruct'!G25</f>
        <v>4</v>
      </c>
      <c r="G850" s="183" t="n">
        <f aca="false">'🤖 Llama-3.1-70b-instruct'!H25</f>
        <v>4</v>
      </c>
      <c r="H850" s="183" t="n">
        <f aca="false">'🤖 Llama-3.1-70b-instruct'!I25</f>
        <v>5</v>
      </c>
      <c r="I850" s="183" t="n">
        <f aca="false">'🤖 Llama-3.1-70b-instruct'!J25</f>
        <v>3</v>
      </c>
    </row>
    <row r="851" customFormat="false" ht="15.75" hidden="false" customHeight="false" outlineLevel="0" collapsed="false">
      <c r="A851" s="9"/>
      <c r="B851" s="9"/>
      <c r="C851" s="51"/>
      <c r="D851" s="9"/>
      <c r="E851" s="9"/>
      <c r="F851" s="9"/>
      <c r="G851" s="9"/>
      <c r="H851" s="9"/>
      <c r="I851" s="9"/>
    </row>
    <row r="852" customFormat="false" ht="15.75" hidden="false" customHeight="false" outlineLevel="0" collapsed="false">
      <c r="A852" s="128" t="str">
        <f aca="false">'🤖 Llama-3.1-70b-instruct'!$A$27</f>
        <v>https://www.berria.eus/euskal-herria/pintaketa-faxistak-egin-dituzte-irunean_2124262_102.html</v>
      </c>
      <c r="B852" s="9" t="s">
        <v>24</v>
      </c>
      <c r="C852" s="129" t="str">
        <f aca="false">'🤖 Llama-3.1-70b-instruct'!C27</f>
        <v>Base</v>
      </c>
      <c r="D852" s="154" t="n">
        <f aca="false">'🤖 Llama-3.1-70b-instruct'!E27</f>
        <v>0.2554744526</v>
      </c>
      <c r="E852" s="183" t="n">
        <f aca="false">'🤖 Llama-3.1-70b-instruct'!F27</f>
        <v>4</v>
      </c>
      <c r="F852" s="183" t="n">
        <f aca="false">'🤖 Llama-3.1-70b-instruct'!G27</f>
        <v>5</v>
      </c>
      <c r="G852" s="183" t="n">
        <f aca="false">'🤖 Llama-3.1-70b-instruct'!H27</f>
        <v>5</v>
      </c>
      <c r="H852" s="183" t="n">
        <f aca="false">'🤖 Llama-3.1-70b-instruct'!I27</f>
        <v>5</v>
      </c>
      <c r="I852" s="183" t="n">
        <f aca="false">'🤖 Llama-3.1-70b-instruct'!J27</f>
        <v>3</v>
      </c>
    </row>
    <row r="853" customFormat="false" ht="15.75" hidden="false" customHeight="false" outlineLevel="0" collapsed="false">
      <c r="A853" s="128" t="str">
        <f aca="false">'🤖 Llama-3.1-70b-instruct'!$A$27</f>
        <v>https://www.berria.eus/euskal-herria/pintaketa-faxistak-egin-dituzte-irunean_2124262_102.html</v>
      </c>
      <c r="B853" s="9" t="s">
        <v>24</v>
      </c>
      <c r="C853" s="129" t="str">
        <f aca="false">'🤖 Llama-3.1-70b-instruct'!C28</f>
        <v>CoT</v>
      </c>
      <c r="D853" s="151" t="n">
        <f aca="false">'🤖 Llama-3.1-70b-instruct'!E28</f>
        <v>0.3430656934</v>
      </c>
      <c r="E853" s="183" t="n">
        <f aca="false">'🤖 Llama-3.1-70b-instruct'!F28</f>
        <v>3</v>
      </c>
      <c r="F853" s="183" t="n">
        <f aca="false">'🤖 Llama-3.1-70b-instruct'!G28</f>
        <v>4</v>
      </c>
      <c r="G853" s="183" t="n">
        <f aca="false">'🤖 Llama-3.1-70b-instruct'!H28</f>
        <v>3</v>
      </c>
      <c r="H853" s="183" t="n">
        <f aca="false">'🤖 Llama-3.1-70b-instruct'!I28</f>
        <v>4</v>
      </c>
      <c r="I853" s="183" t="n">
        <f aca="false">'🤖 Llama-3.1-70b-instruct'!J28</f>
        <v>3</v>
      </c>
    </row>
    <row r="854" customFormat="false" ht="15.75" hidden="false" customHeight="false" outlineLevel="0" collapsed="false">
      <c r="A854" s="128" t="str">
        <f aca="false">'🤖 Llama-3.1-70b-instruct'!$A$27</f>
        <v>https://www.berria.eus/euskal-herria/pintaketa-faxistak-egin-dituzte-irunean_2124262_102.html</v>
      </c>
      <c r="B854" s="9" t="s">
        <v>24</v>
      </c>
      <c r="C854" s="129" t="str">
        <f aca="false">'🤖 Llama-3.1-70b-instruct'!C29</f>
        <v>5W1H</v>
      </c>
      <c r="D854" s="181" t="n">
        <f aca="false">'🤖 Llama-3.1-70b-instruct'!E29</f>
        <v>0.7299270073</v>
      </c>
      <c r="E854" s="183" t="n">
        <f aca="false">'🤖 Llama-3.1-70b-instruct'!F29</f>
        <v>3</v>
      </c>
      <c r="F854" s="183" t="n">
        <f aca="false">'🤖 Llama-3.1-70b-instruct'!G29</f>
        <v>5</v>
      </c>
      <c r="G854" s="183" t="n">
        <f aca="false">'🤖 Llama-3.1-70b-instruct'!H29</f>
        <v>5</v>
      </c>
      <c r="H854" s="183" t="n">
        <f aca="false">'🤖 Llama-3.1-70b-instruct'!I29</f>
        <v>3</v>
      </c>
      <c r="I854" s="183" t="n">
        <f aca="false">'🤖 Llama-3.1-70b-instruct'!J29</f>
        <v>4</v>
      </c>
    </row>
    <row r="855" customFormat="false" ht="15.75" hidden="false" customHeight="false" outlineLevel="0" collapsed="false">
      <c r="A855" s="128" t="str">
        <f aca="false">'🤖 Llama-3.1-70b-instruct'!$A$27</f>
        <v>https://www.berria.eus/euskal-herria/pintaketa-faxistak-egin-dituzte-irunean_2124262_102.html</v>
      </c>
      <c r="B855" s="9" t="s">
        <v>24</v>
      </c>
      <c r="C855" s="129" t="str">
        <f aca="false">'🤖 Llama-3.1-70b-instruct'!C30</f>
        <v>tldr</v>
      </c>
      <c r="D855" s="180" t="n">
        <f aca="false">'🤖 Llama-3.1-70b-instruct'!E30</f>
        <v>0.2773722628</v>
      </c>
      <c r="E855" s="183" t="n">
        <f aca="false">'🤖 Llama-3.1-70b-instruct'!F30</f>
        <v>4</v>
      </c>
      <c r="F855" s="183" t="n">
        <f aca="false">'🤖 Llama-3.1-70b-instruct'!G30</f>
        <v>4</v>
      </c>
      <c r="G855" s="183" t="n">
        <f aca="false">'🤖 Llama-3.1-70b-instruct'!H30</f>
        <v>5</v>
      </c>
      <c r="H855" s="183" t="n">
        <f aca="false">'🤖 Llama-3.1-70b-instruct'!I30</f>
        <v>5</v>
      </c>
      <c r="I855" s="183" t="n">
        <f aca="false">'🤖 Llama-3.1-70b-instruct'!J30</f>
        <v>4</v>
      </c>
    </row>
    <row r="856" customFormat="false" ht="15.75" hidden="false" customHeight="false" outlineLevel="0" collapsed="false">
      <c r="A856" s="9"/>
      <c r="B856" s="9"/>
      <c r="C856" s="51"/>
      <c r="D856" s="9"/>
      <c r="E856" s="9"/>
      <c r="F856" s="9"/>
      <c r="G856" s="9"/>
      <c r="H856" s="9"/>
      <c r="I856" s="9"/>
    </row>
    <row r="857" customFormat="false" ht="15.75" hidden="false" customHeight="false" outlineLevel="0" collapsed="false">
      <c r="A857" s="128" t="str">
        <f aca="false">'🤖 Llama-3.1-70b-instruct'!$A$32</f>
        <v>https://www.berria.eus/ekonomia/eolikoen-arlorako-laguntzetan-orain-halako-bi-jarriko-du-ebk-1400-milioi_1343992_102.html</v>
      </c>
      <c r="B857" s="9" t="s">
        <v>24</v>
      </c>
      <c r="C857" s="129" t="str">
        <f aca="false">'🤖 Llama-3.1-70b-instruct'!C32</f>
        <v>Base</v>
      </c>
      <c r="D857" s="151" t="n">
        <f aca="false">'🤖 Llama-3.1-70b-instruct'!E32</f>
        <v>0.1241830065</v>
      </c>
      <c r="E857" s="183" t="n">
        <f aca="false">'🤖 Llama-3.1-70b-instruct'!F32</f>
        <v>4</v>
      </c>
      <c r="F857" s="183" t="n">
        <f aca="false">'🤖 Llama-3.1-70b-instruct'!G32</f>
        <v>5</v>
      </c>
      <c r="G857" s="183" t="n">
        <f aca="false">'🤖 Llama-3.1-70b-instruct'!H32</f>
        <v>4</v>
      </c>
      <c r="H857" s="183" t="n">
        <f aca="false">'🤖 Llama-3.1-70b-instruct'!I32</f>
        <v>5</v>
      </c>
      <c r="I857" s="183" t="n">
        <f aca="false">'🤖 Llama-3.1-70b-instruct'!J32</f>
        <v>3</v>
      </c>
    </row>
    <row r="858" customFormat="false" ht="15.75" hidden="false" customHeight="false" outlineLevel="0" collapsed="false">
      <c r="A858" s="128" t="str">
        <f aca="false">'🤖 Llama-3.1-70b-instruct'!$A$32</f>
        <v>https://www.berria.eus/ekonomia/eolikoen-arlorako-laguntzetan-orain-halako-bi-jarriko-du-ebk-1400-milioi_1343992_102.html</v>
      </c>
      <c r="B858" s="9" t="s">
        <v>24</v>
      </c>
      <c r="C858" s="129" t="str">
        <f aca="false">'🤖 Llama-3.1-70b-instruct'!C33</f>
        <v>CoT</v>
      </c>
      <c r="D858" s="154" t="n">
        <f aca="false">'🤖 Llama-3.1-70b-instruct'!E33</f>
        <v>0.1699346405</v>
      </c>
      <c r="E858" s="183" t="n">
        <f aca="false">'🤖 Llama-3.1-70b-instruct'!F33</f>
        <v>3</v>
      </c>
      <c r="F858" s="183" t="n">
        <f aca="false">'🤖 Llama-3.1-70b-instruct'!G33</f>
        <v>5</v>
      </c>
      <c r="G858" s="183" t="n">
        <f aca="false">'🤖 Llama-3.1-70b-instruct'!H33</f>
        <v>4</v>
      </c>
      <c r="H858" s="183" t="n">
        <f aca="false">'🤖 Llama-3.1-70b-instruct'!I33</f>
        <v>3</v>
      </c>
      <c r="I858" s="183" t="n">
        <f aca="false">'🤖 Llama-3.1-70b-instruct'!J33</f>
        <v>3</v>
      </c>
    </row>
    <row r="859" customFormat="false" ht="15.75" hidden="false" customHeight="false" outlineLevel="0" collapsed="false">
      <c r="A859" s="128" t="str">
        <f aca="false">'🤖 Llama-3.1-70b-instruct'!$A$32</f>
        <v>https://www.berria.eus/ekonomia/eolikoen-arlorako-laguntzetan-orain-halako-bi-jarriko-du-ebk-1400-milioi_1343992_102.html</v>
      </c>
      <c r="B859" s="9" t="s">
        <v>24</v>
      </c>
      <c r="C859" s="129" t="str">
        <f aca="false">'🤖 Llama-3.1-70b-instruct'!C34</f>
        <v>5W1H</v>
      </c>
      <c r="D859" s="147" t="n">
        <f aca="false">'🤖 Llama-3.1-70b-instruct'!E34</f>
        <v>0.211328976</v>
      </c>
      <c r="E859" s="183" t="n">
        <f aca="false">'🤖 Llama-3.1-70b-instruct'!F34</f>
        <v>3</v>
      </c>
      <c r="F859" s="183" t="n">
        <f aca="false">'🤖 Llama-3.1-70b-instruct'!G34</f>
        <v>5</v>
      </c>
      <c r="G859" s="183" t="n">
        <f aca="false">'🤖 Llama-3.1-70b-instruct'!H34</f>
        <v>4</v>
      </c>
      <c r="H859" s="183" t="n">
        <f aca="false">'🤖 Llama-3.1-70b-instruct'!I34</f>
        <v>3</v>
      </c>
      <c r="I859" s="183" t="n">
        <f aca="false">'🤖 Llama-3.1-70b-instruct'!J34</f>
        <v>3</v>
      </c>
    </row>
    <row r="860" customFormat="false" ht="15.75" hidden="false" customHeight="false" outlineLevel="0" collapsed="false">
      <c r="A860" s="128" t="str">
        <f aca="false">'🤖 Llama-3.1-70b-instruct'!$A$32</f>
        <v>https://www.berria.eus/ekonomia/eolikoen-arlorako-laguntzetan-orain-halako-bi-jarriko-du-ebk-1400-milioi_1343992_102.html</v>
      </c>
      <c r="B860" s="9" t="s">
        <v>24</v>
      </c>
      <c r="C860" s="129" t="str">
        <f aca="false">'🤖 Llama-3.1-70b-instruct'!C35</f>
        <v>tldr</v>
      </c>
      <c r="D860" s="149" t="n">
        <f aca="false">'🤖 Llama-3.1-70b-instruct'!E35</f>
        <v>0.1045751634</v>
      </c>
      <c r="E860" s="183" t="n">
        <f aca="false">'🤖 Llama-3.1-70b-instruct'!F35</f>
        <v>4</v>
      </c>
      <c r="F860" s="183" t="n">
        <f aca="false">'🤖 Llama-3.1-70b-instruct'!G35</f>
        <v>5</v>
      </c>
      <c r="G860" s="183" t="n">
        <f aca="false">'🤖 Llama-3.1-70b-instruct'!H35</f>
        <v>4</v>
      </c>
      <c r="H860" s="183" t="n">
        <f aca="false">'🤖 Llama-3.1-70b-instruct'!I35</f>
        <v>5</v>
      </c>
      <c r="I860" s="183" t="n">
        <f aca="false">'🤖 Llama-3.1-70b-instruct'!J35</f>
        <v>2</v>
      </c>
    </row>
    <row r="861" customFormat="false" ht="15.75" hidden="false" customHeight="false" outlineLevel="0" collapsed="false">
      <c r="A861" s="9"/>
      <c r="B861" s="9"/>
      <c r="C861" s="51"/>
      <c r="D861" s="9"/>
      <c r="E861" s="9"/>
      <c r="F861" s="9"/>
      <c r="G861" s="9"/>
      <c r="H861" s="9"/>
      <c r="I861" s="9"/>
    </row>
    <row r="862" customFormat="false" ht="15.75" hidden="false" customHeight="false" outlineLevel="0" collapsed="false">
      <c r="A862" s="128" t="str">
        <f aca="false">'🤖 Llama-3.1-70b-instruct'!$A$37</f>
        <v>https://www.berria.eus/kultura/itsasun-egingo-dute-irailekoak-poesia-jaialdia-aurten_2125293_102.html</v>
      </c>
      <c r="B862" s="9" t="s">
        <v>24</v>
      </c>
      <c r="C862" s="129" t="str">
        <f aca="false">'🤖 Llama-3.1-70b-instruct'!C37</f>
        <v>Base</v>
      </c>
      <c r="D862" s="158" t="n">
        <f aca="false">'🤖 Llama-3.1-70b-instruct'!E37</f>
        <v>0.2795031056</v>
      </c>
      <c r="E862" s="183" t="n">
        <f aca="false">'🤖 Llama-3.1-70b-instruct'!F37</f>
        <v>5</v>
      </c>
      <c r="F862" s="183" t="n">
        <f aca="false">'🤖 Llama-3.1-70b-instruct'!G37</f>
        <v>4</v>
      </c>
      <c r="G862" s="183" t="n">
        <f aca="false">'🤖 Llama-3.1-70b-instruct'!H37</f>
        <v>5</v>
      </c>
      <c r="H862" s="183" t="n">
        <f aca="false">'🤖 Llama-3.1-70b-instruct'!I37</f>
        <v>5</v>
      </c>
      <c r="I862" s="183" t="n">
        <f aca="false">'🤖 Llama-3.1-70b-instruct'!J37</f>
        <v>5</v>
      </c>
    </row>
    <row r="863" customFormat="false" ht="15.75" hidden="false" customHeight="false" outlineLevel="0" collapsed="false">
      <c r="A863" s="128" t="str">
        <f aca="false">'🤖 Llama-3.1-70b-instruct'!$A$37</f>
        <v>https://www.berria.eus/kultura/itsasun-egingo-dute-irailekoak-poesia-jaialdia-aurten_2125293_102.html</v>
      </c>
      <c r="B863" s="9" t="s">
        <v>24</v>
      </c>
      <c r="C863" s="129" t="str">
        <f aca="false">'🤖 Llama-3.1-70b-instruct'!C38</f>
        <v>CoT</v>
      </c>
      <c r="D863" s="186" t="n">
        <f aca="false">'🤖 Llama-3.1-70b-instruct'!E38</f>
        <v>0.3540372671</v>
      </c>
      <c r="E863" s="183" t="n">
        <f aca="false">'🤖 Llama-3.1-70b-instruct'!F38</f>
        <v>3</v>
      </c>
      <c r="F863" s="183" t="n">
        <f aca="false">'🤖 Llama-3.1-70b-instruct'!G38</f>
        <v>4</v>
      </c>
      <c r="G863" s="183" t="n">
        <f aca="false">'🤖 Llama-3.1-70b-instruct'!H38</f>
        <v>5</v>
      </c>
      <c r="H863" s="183" t="n">
        <f aca="false">'🤖 Llama-3.1-70b-instruct'!I38</f>
        <v>4</v>
      </c>
      <c r="I863" s="183" t="n">
        <f aca="false">'🤖 Llama-3.1-70b-instruct'!J38</f>
        <v>5</v>
      </c>
    </row>
    <row r="864" customFormat="false" ht="15.75" hidden="false" customHeight="false" outlineLevel="0" collapsed="false">
      <c r="A864" s="128" t="str">
        <f aca="false">'🤖 Llama-3.1-70b-instruct'!$A$37</f>
        <v>https://www.berria.eus/kultura/itsasun-egingo-dute-irailekoak-poesia-jaialdia-aurten_2125293_102.html</v>
      </c>
      <c r="B864" s="9" t="s">
        <v>24</v>
      </c>
      <c r="C864" s="129" t="str">
        <f aca="false">'🤖 Llama-3.1-70b-instruct'!C39</f>
        <v>5W1H</v>
      </c>
      <c r="D864" s="140" t="n">
        <f aca="false">'🤖 Llama-3.1-70b-instruct'!E39</f>
        <v>0.3416149068</v>
      </c>
      <c r="E864" s="183" t="n">
        <f aca="false">'🤖 Llama-3.1-70b-instruct'!F39</f>
        <v>3</v>
      </c>
      <c r="F864" s="183" t="n">
        <f aca="false">'🤖 Llama-3.1-70b-instruct'!G39</f>
        <v>5</v>
      </c>
      <c r="G864" s="183" t="n">
        <f aca="false">'🤖 Llama-3.1-70b-instruct'!H39</f>
        <v>4</v>
      </c>
      <c r="H864" s="183" t="n">
        <f aca="false">'🤖 Llama-3.1-70b-instruct'!I39</f>
        <v>4</v>
      </c>
      <c r="I864" s="183" t="n">
        <f aca="false">'🤖 Llama-3.1-70b-instruct'!J39</f>
        <v>5</v>
      </c>
    </row>
    <row r="865" customFormat="false" ht="15.75" hidden="false" customHeight="false" outlineLevel="0" collapsed="false">
      <c r="A865" s="128" t="str">
        <f aca="false">'🤖 Llama-3.1-70b-instruct'!$A$37</f>
        <v>https://www.berria.eus/kultura/itsasun-egingo-dute-irailekoak-poesia-jaialdia-aurten_2125293_102.html</v>
      </c>
      <c r="B865" s="9" t="s">
        <v>24</v>
      </c>
      <c r="C865" s="129" t="str">
        <f aca="false">'🤖 Llama-3.1-70b-instruct'!C40</f>
        <v>tldr</v>
      </c>
      <c r="D865" s="167" t="n">
        <f aca="false">'🤖 Llama-3.1-70b-instruct'!E40</f>
        <v>0.1801242236</v>
      </c>
      <c r="E865" s="183" t="n">
        <f aca="false">'🤖 Llama-3.1-70b-instruct'!F40</f>
        <v>4</v>
      </c>
      <c r="F865" s="183" t="n">
        <f aca="false">'🤖 Llama-3.1-70b-instruct'!G40</f>
        <v>3</v>
      </c>
      <c r="G865" s="183" t="n">
        <f aca="false">'🤖 Llama-3.1-70b-instruct'!H40</f>
        <v>5</v>
      </c>
      <c r="H865" s="183" t="n">
        <f aca="false">'🤖 Llama-3.1-70b-instruct'!I40</f>
        <v>5</v>
      </c>
      <c r="I865" s="183" t="n">
        <f aca="false">'🤖 Llama-3.1-70b-instruct'!J40</f>
        <v>3</v>
      </c>
    </row>
    <row r="866" customFormat="false" ht="15.75" hidden="false" customHeight="false" outlineLevel="0" collapsed="false">
      <c r="A866" s="9"/>
      <c r="B866" s="9"/>
      <c r="C866" s="51"/>
      <c r="D866" s="9"/>
      <c r="E866" s="9"/>
      <c r="F866" s="9"/>
      <c r="G866" s="9"/>
      <c r="H866" s="9"/>
      <c r="I866" s="9"/>
    </row>
    <row r="867" customFormat="false" ht="15.75" hidden="false" customHeight="false" outlineLevel="0" collapsed="false">
      <c r="A867" s="128" t="str">
        <f aca="false">'🤖 Llama-3.1-70b-instruct'!$A$42</f>
        <v>https://www.berria.eus/kultura/nolabaiteko-kontrarreforma-bat-gertatzen-ari-da-eta-horren-aurrean-elkartu-beharra-daukagu_2124481_102.html</v>
      </c>
      <c r="B867" s="9" t="s">
        <v>24</v>
      </c>
      <c r="C867" s="129" t="str">
        <f aca="false">'🤖 Llama-3.1-70b-instruct'!C42</f>
        <v>Base</v>
      </c>
      <c r="D867" s="136" t="n">
        <f aca="false">'🤖 Llama-3.1-70b-instruct'!E42</f>
        <v>0.08585055644</v>
      </c>
      <c r="E867" s="183" t="n">
        <f aca="false">'🤖 Llama-3.1-70b-instruct'!F42</f>
        <v>4</v>
      </c>
      <c r="F867" s="183" t="n">
        <f aca="false">'🤖 Llama-3.1-70b-instruct'!G42</f>
        <v>5</v>
      </c>
      <c r="G867" s="183" t="n">
        <f aca="false">'🤖 Llama-3.1-70b-instruct'!H42</f>
        <v>5</v>
      </c>
      <c r="H867" s="183" t="n">
        <f aca="false">'🤖 Llama-3.1-70b-instruct'!I42</f>
        <v>5</v>
      </c>
      <c r="I867" s="183" t="n">
        <f aca="false">'🤖 Llama-3.1-70b-instruct'!J42</f>
        <v>4</v>
      </c>
    </row>
    <row r="868" customFormat="false" ht="15.75" hidden="false" customHeight="false" outlineLevel="0" collapsed="false">
      <c r="A868" s="128" t="str">
        <f aca="false">'🤖 Llama-3.1-70b-instruct'!$A$42</f>
        <v>https://www.berria.eus/kultura/nolabaiteko-kontrarreforma-bat-gertatzen-ari-da-eta-horren-aurrean-elkartu-beharra-daukagu_2124481_102.html</v>
      </c>
      <c r="B868" s="9" t="s">
        <v>24</v>
      </c>
      <c r="C868" s="129" t="str">
        <f aca="false">'🤖 Llama-3.1-70b-instruct'!C43</f>
        <v>CoT</v>
      </c>
      <c r="D868" s="136" t="n">
        <f aca="false">'🤖 Llama-3.1-70b-instruct'!E43</f>
        <v>0.1303656598</v>
      </c>
      <c r="E868" s="183" t="n">
        <f aca="false">'🤖 Llama-3.1-70b-instruct'!F43</f>
        <v>3</v>
      </c>
      <c r="F868" s="183" t="n">
        <f aca="false">'🤖 Llama-3.1-70b-instruct'!G43</f>
        <v>5</v>
      </c>
      <c r="G868" s="183" t="n">
        <f aca="false">'🤖 Llama-3.1-70b-instruct'!H43</f>
        <v>5</v>
      </c>
      <c r="H868" s="183" t="n">
        <f aca="false">'🤖 Llama-3.1-70b-instruct'!I43</f>
        <v>3</v>
      </c>
      <c r="I868" s="183" t="n">
        <f aca="false">'🤖 Llama-3.1-70b-instruct'!J43</f>
        <v>3</v>
      </c>
    </row>
    <row r="869" customFormat="false" ht="15.75" hidden="false" customHeight="false" outlineLevel="0" collapsed="false">
      <c r="A869" s="128" t="str">
        <f aca="false">'🤖 Llama-3.1-70b-instruct'!$A$42</f>
        <v>https://www.berria.eus/kultura/nolabaiteko-kontrarreforma-bat-gertatzen-ari-da-eta-horren-aurrean-elkartu-beharra-daukagu_2124481_102.html</v>
      </c>
      <c r="B869" s="9" t="s">
        <v>24</v>
      </c>
      <c r="C869" s="129" t="str">
        <f aca="false">'🤖 Llama-3.1-70b-instruct'!C44</f>
        <v>5W1H</v>
      </c>
      <c r="D869" s="180" t="n">
        <f aca="false">'🤖 Llama-3.1-70b-instruct'!E44</f>
        <v>0.1621621622</v>
      </c>
      <c r="E869" s="183" t="n">
        <f aca="false">'🤖 Llama-3.1-70b-instruct'!F44</f>
        <v>3</v>
      </c>
      <c r="F869" s="183" t="n">
        <f aca="false">'🤖 Llama-3.1-70b-instruct'!G44</f>
        <v>5</v>
      </c>
      <c r="G869" s="183" t="n">
        <f aca="false">'🤖 Llama-3.1-70b-instruct'!H44</f>
        <v>3</v>
      </c>
      <c r="H869" s="183" t="n">
        <f aca="false">'🤖 Llama-3.1-70b-instruct'!I44</f>
        <v>4</v>
      </c>
      <c r="I869" s="183" t="n">
        <f aca="false">'🤖 Llama-3.1-70b-instruct'!J44</f>
        <v>5</v>
      </c>
    </row>
    <row r="870" customFormat="false" ht="15.75" hidden="false" customHeight="false" outlineLevel="0" collapsed="false">
      <c r="A870" s="128" t="str">
        <f aca="false">'🤖 Llama-3.1-70b-instruct'!$A$42</f>
        <v>https://www.berria.eus/kultura/nolabaiteko-kontrarreforma-bat-gertatzen-ari-da-eta-horren-aurrean-elkartu-beharra-daukagu_2124481_102.html</v>
      </c>
      <c r="B870" s="9" t="s">
        <v>24</v>
      </c>
      <c r="C870" s="129" t="str">
        <f aca="false">'🤖 Llama-3.1-70b-instruct'!C45</f>
        <v>tldr</v>
      </c>
      <c r="D870" s="152" t="n">
        <f aca="false">'🤖 Llama-3.1-70b-instruct'!E45</f>
        <v>0.05246422893</v>
      </c>
      <c r="E870" s="183" t="n">
        <f aca="false">'🤖 Llama-3.1-70b-instruct'!F45</f>
        <v>4</v>
      </c>
      <c r="F870" s="183" t="n">
        <f aca="false">'🤖 Llama-3.1-70b-instruct'!G45</f>
        <v>5</v>
      </c>
      <c r="G870" s="183" t="n">
        <f aca="false">'🤖 Llama-3.1-70b-instruct'!H45</f>
        <v>5</v>
      </c>
      <c r="H870" s="183" t="n">
        <f aca="false">'🤖 Llama-3.1-70b-instruct'!I45</f>
        <v>5</v>
      </c>
      <c r="I870" s="183" t="n">
        <f aca="false">'🤖 Llama-3.1-70b-instruct'!J45</f>
        <v>3</v>
      </c>
    </row>
    <row r="871" customFormat="false" ht="15.75" hidden="false" customHeight="false" outlineLevel="0" collapsed="false">
      <c r="A871" s="9"/>
      <c r="B871" s="9"/>
      <c r="C871" s="51"/>
      <c r="D871" s="9"/>
      <c r="E871" s="9"/>
      <c r="F871" s="9"/>
      <c r="G871" s="9"/>
      <c r="H871" s="9"/>
      <c r="I871" s="9"/>
    </row>
    <row r="872" customFormat="false" ht="15.75" hidden="false" customHeight="false" outlineLevel="0" collapsed="false">
      <c r="A872" s="128" t="str">
        <f aca="false">'🤖 Llama-3.1-70b-instruct'!$A$47</f>
        <v>https://www.berria.eus/euskal-herria/ortuzarrek-dio-eajk-euskadiko-estatus-berriari-bultzada-eman-nahi-diola_2124257_102.html</v>
      </c>
      <c r="B872" s="9" t="s">
        <v>24</v>
      </c>
      <c r="C872" s="129" t="str">
        <f aca="false">'🤖 Llama-3.1-70b-instruct'!C47</f>
        <v>Base</v>
      </c>
      <c r="D872" s="138" t="n">
        <f aca="false">'🤖 Llama-3.1-70b-instruct'!E47</f>
        <v>0.2205323194</v>
      </c>
      <c r="E872" s="183" t="n">
        <f aca="false">'🤖 Llama-3.1-70b-instruct'!F47</f>
        <v>5</v>
      </c>
      <c r="F872" s="183" t="n">
        <f aca="false">'🤖 Llama-3.1-70b-instruct'!G47</f>
        <v>5</v>
      </c>
      <c r="G872" s="183" t="n">
        <f aca="false">'🤖 Llama-3.1-70b-instruct'!H47</f>
        <v>5</v>
      </c>
      <c r="H872" s="183" t="n">
        <f aca="false">'🤖 Llama-3.1-70b-instruct'!I47</f>
        <v>5</v>
      </c>
      <c r="I872" s="183" t="n">
        <f aca="false">'🤖 Llama-3.1-70b-instruct'!J47</f>
        <v>5</v>
      </c>
    </row>
    <row r="873" customFormat="false" ht="15.75" hidden="false" customHeight="false" outlineLevel="0" collapsed="false">
      <c r="A873" s="128" t="str">
        <f aca="false">'🤖 Llama-3.1-70b-instruct'!$A$47</f>
        <v>https://www.berria.eus/euskal-herria/ortuzarrek-dio-eajk-euskadiko-estatus-berriari-bultzada-eman-nahi-diola_2124257_102.html</v>
      </c>
      <c r="B873" s="9" t="s">
        <v>24</v>
      </c>
      <c r="C873" s="129" t="str">
        <f aca="false">'🤖 Llama-3.1-70b-instruct'!C48</f>
        <v>CoT</v>
      </c>
      <c r="D873" s="167" t="n">
        <f aca="false">'🤖 Llama-3.1-70b-instruct'!E48</f>
        <v>0.1768060837</v>
      </c>
      <c r="E873" s="183" t="n">
        <f aca="false">'🤖 Llama-3.1-70b-instruct'!F48</f>
        <v>3</v>
      </c>
      <c r="F873" s="183" t="n">
        <f aca="false">'🤖 Llama-3.1-70b-instruct'!G48</f>
        <v>5</v>
      </c>
      <c r="G873" s="183" t="n">
        <f aca="false">'🤖 Llama-3.1-70b-instruct'!H48</f>
        <v>5</v>
      </c>
      <c r="H873" s="183" t="n">
        <f aca="false">'🤖 Llama-3.1-70b-instruct'!I48</f>
        <v>3</v>
      </c>
      <c r="I873" s="183" t="n">
        <f aca="false">'🤖 Llama-3.1-70b-instruct'!J48</f>
        <v>3</v>
      </c>
    </row>
    <row r="874" customFormat="false" ht="15.75" hidden="false" customHeight="false" outlineLevel="0" collapsed="false">
      <c r="A874" s="128" t="str">
        <f aca="false">'🤖 Llama-3.1-70b-instruct'!$A$47</f>
        <v>https://www.berria.eus/euskal-herria/ortuzarrek-dio-eajk-euskadiko-estatus-berriari-bultzada-eman-nahi-diola_2124257_102.html</v>
      </c>
      <c r="B874" s="9" t="s">
        <v>24</v>
      </c>
      <c r="C874" s="129" t="str">
        <f aca="false">'🤖 Llama-3.1-70b-instruct'!C49</f>
        <v>5W1H</v>
      </c>
      <c r="D874" s="134" t="n">
        <f aca="false">'🤖 Llama-3.1-70b-instruct'!E49</f>
        <v>0.2243346008</v>
      </c>
      <c r="E874" s="183" t="n">
        <f aca="false">'🤖 Llama-3.1-70b-instruct'!F49</f>
        <v>3</v>
      </c>
      <c r="F874" s="183" t="n">
        <f aca="false">'🤖 Llama-3.1-70b-instruct'!G49</f>
        <v>4</v>
      </c>
      <c r="G874" s="183" t="n">
        <f aca="false">'🤖 Llama-3.1-70b-instruct'!H49</f>
        <v>5</v>
      </c>
      <c r="H874" s="183" t="n">
        <f aca="false">'🤖 Llama-3.1-70b-instruct'!I49</f>
        <v>5</v>
      </c>
      <c r="I874" s="183" t="n">
        <f aca="false">'🤖 Llama-3.1-70b-instruct'!J49</f>
        <v>4</v>
      </c>
    </row>
    <row r="875" customFormat="false" ht="15.75" hidden="false" customHeight="false" outlineLevel="0" collapsed="false">
      <c r="A875" s="128" t="str">
        <f aca="false">'🤖 Llama-3.1-70b-instruct'!$A$47</f>
        <v>https://www.berria.eus/euskal-herria/ortuzarrek-dio-eajk-euskadiko-estatus-berriari-bultzada-eman-nahi-diola_2124257_102.html</v>
      </c>
      <c r="B875" s="9" t="s">
        <v>24</v>
      </c>
      <c r="C875" s="129" t="str">
        <f aca="false">'🤖 Llama-3.1-70b-instruct'!C50</f>
        <v>tldr</v>
      </c>
      <c r="D875" s="153" t="n">
        <f aca="false">'🤖 Llama-3.1-70b-instruct'!E50</f>
        <v>0.09315589354</v>
      </c>
      <c r="E875" s="183" t="n">
        <f aca="false">'🤖 Llama-3.1-70b-instruct'!F50</f>
        <v>5</v>
      </c>
      <c r="F875" s="183" t="n">
        <f aca="false">'🤖 Llama-3.1-70b-instruct'!G50</f>
        <v>5</v>
      </c>
      <c r="G875" s="183" t="n">
        <f aca="false">'🤖 Llama-3.1-70b-instruct'!H50</f>
        <v>5</v>
      </c>
      <c r="H875" s="183" t="n">
        <f aca="false">'🤖 Llama-3.1-70b-instruct'!I50</f>
        <v>5</v>
      </c>
      <c r="I875" s="183" t="n">
        <f aca="false">'🤖 Llama-3.1-70b-instruct'!J50</f>
        <v>3</v>
      </c>
    </row>
    <row r="876" customFormat="false" ht="15.75" hidden="false" customHeight="false" outlineLevel="0" collapsed="false">
      <c r="A876" s="128"/>
      <c r="B876" s="9"/>
      <c r="C876" s="6"/>
      <c r="D876" s="153"/>
      <c r="E876" s="4"/>
      <c r="F876" s="4"/>
      <c r="G876" s="4"/>
      <c r="H876" s="4"/>
      <c r="I876" s="4"/>
    </row>
    <row r="877" customFormat="false" ht="15.75" hidden="false" customHeight="false" outlineLevel="0" collapsed="false">
      <c r="A877" s="128" t="n">
        <f aca="false">'🤖 Llama-3.1-70b-instruct'!$A$52</f>
        <v>0</v>
      </c>
      <c r="B877" s="9" t="s">
        <v>24</v>
      </c>
      <c r="C877" s="129" t="str">
        <f aca="false">'🤖 Llama-3.1-70b-instruct'!C52</f>
        <v>Base</v>
      </c>
      <c r="D877" s="153" t="n">
        <f aca="false">'🤖 Llama-3.1-70b-instruct'!E52</f>
        <v>0.001901140684</v>
      </c>
      <c r="E877" s="183" t="n">
        <f aca="false">'🤖 Llama-3.1-70b-instruct'!F52</f>
        <v>0</v>
      </c>
      <c r="F877" s="183" t="n">
        <f aca="false">'🤖 Llama-3.1-70b-instruct'!G52</f>
        <v>0</v>
      </c>
      <c r="G877" s="183" t="n">
        <f aca="false">'🤖 Llama-3.1-70b-instruct'!H52</f>
        <v>0</v>
      </c>
      <c r="H877" s="183" t="n">
        <f aca="false">'🤖 Llama-3.1-70b-instruct'!I52</f>
        <v>0</v>
      </c>
      <c r="I877" s="183" t="n">
        <f aca="false">'🤖 Llama-3.1-70b-instruct'!J52</f>
        <v>0</v>
      </c>
    </row>
    <row r="878" customFormat="false" ht="15.75" hidden="false" customHeight="false" outlineLevel="0" collapsed="false">
      <c r="A878" s="128" t="n">
        <f aca="false">'🤖 Llama-3.1-70b-instruct'!$A$52</f>
        <v>0</v>
      </c>
      <c r="B878" s="9" t="s">
        <v>24</v>
      </c>
      <c r="C878" s="129" t="str">
        <f aca="false">'🤖 Llama-3.1-70b-instruct'!C53</f>
        <v>CoT</v>
      </c>
      <c r="D878" s="153" t="n">
        <f aca="false">'🤖 Llama-3.1-70b-instruct'!E53</f>
        <v>0.001901140684</v>
      </c>
      <c r="E878" s="183" t="n">
        <f aca="false">'🤖 Llama-3.1-70b-instruct'!F53</f>
        <v>0</v>
      </c>
      <c r="F878" s="183" t="n">
        <f aca="false">'🤖 Llama-3.1-70b-instruct'!G53</f>
        <v>0</v>
      </c>
      <c r="G878" s="183" t="n">
        <f aca="false">'🤖 Llama-3.1-70b-instruct'!H53</f>
        <v>0</v>
      </c>
      <c r="H878" s="183" t="n">
        <f aca="false">'🤖 Llama-3.1-70b-instruct'!I53</f>
        <v>0</v>
      </c>
      <c r="I878" s="183" t="n">
        <f aca="false">'🤖 Llama-3.1-70b-instruct'!J53</f>
        <v>0</v>
      </c>
    </row>
    <row r="879" customFormat="false" ht="15.75" hidden="false" customHeight="false" outlineLevel="0" collapsed="false">
      <c r="A879" s="128" t="n">
        <f aca="false">'🤖 Llama-3.1-70b-instruct'!$A$52</f>
        <v>0</v>
      </c>
      <c r="B879" s="9" t="s">
        <v>24</v>
      </c>
      <c r="C879" s="129" t="str">
        <f aca="false">'🤖 Llama-3.1-70b-instruct'!C54</f>
        <v>5W1H</v>
      </c>
      <c r="D879" s="153" t="n">
        <f aca="false">'🤖 Llama-3.1-70b-instruct'!E54</f>
        <v>0.001901140684</v>
      </c>
      <c r="E879" s="183" t="n">
        <f aca="false">'🤖 Llama-3.1-70b-instruct'!F54</f>
        <v>0</v>
      </c>
      <c r="F879" s="183" t="n">
        <f aca="false">'🤖 Llama-3.1-70b-instruct'!G54</f>
        <v>0</v>
      </c>
      <c r="G879" s="183" t="n">
        <f aca="false">'🤖 Llama-3.1-70b-instruct'!H54</f>
        <v>0</v>
      </c>
      <c r="H879" s="183" t="n">
        <f aca="false">'🤖 Llama-3.1-70b-instruct'!I54</f>
        <v>0</v>
      </c>
      <c r="I879" s="183" t="n">
        <f aca="false">'🤖 Llama-3.1-70b-instruct'!J54</f>
        <v>0</v>
      </c>
    </row>
    <row r="880" customFormat="false" ht="15.75" hidden="false" customHeight="false" outlineLevel="0" collapsed="false">
      <c r="A880" s="128" t="n">
        <f aca="false">'🤖 Llama-3.1-70b-instruct'!$A$52</f>
        <v>0</v>
      </c>
      <c r="B880" s="9" t="s">
        <v>24</v>
      </c>
      <c r="C880" s="129" t="str">
        <f aca="false">'🤖 Llama-3.1-70b-instruct'!C55</f>
        <v>tldr</v>
      </c>
      <c r="D880" s="153" t="n">
        <f aca="false">'🤖 Llama-3.1-70b-instruct'!E55</f>
        <v>0.001901140684</v>
      </c>
      <c r="E880" s="183" t="n">
        <f aca="false">'🤖 Llama-3.1-70b-instruct'!F55</f>
        <v>0</v>
      </c>
      <c r="F880" s="183" t="n">
        <f aca="false">'🤖 Llama-3.1-70b-instruct'!G55</f>
        <v>0</v>
      </c>
      <c r="G880" s="183" t="n">
        <f aca="false">'🤖 Llama-3.1-70b-instruct'!H55</f>
        <v>0</v>
      </c>
      <c r="H880" s="183" t="n">
        <f aca="false">'🤖 Llama-3.1-70b-instruct'!I55</f>
        <v>0</v>
      </c>
      <c r="I880" s="183" t="n">
        <f aca="false">'🤖 Llama-3.1-70b-instruct'!J55</f>
        <v>0</v>
      </c>
    </row>
    <row r="881" customFormat="false" ht="15.75" hidden="false" customHeight="false" outlineLevel="0" collapsed="false">
      <c r="A881" s="128"/>
      <c r="B881" s="9"/>
      <c r="C881" s="6"/>
      <c r="D881" s="153"/>
      <c r="E881" s="4"/>
      <c r="F881" s="4"/>
      <c r="G881" s="4"/>
      <c r="H881" s="4"/>
      <c r="I881" s="4"/>
    </row>
    <row r="882" customFormat="false" ht="15.75" hidden="false" customHeight="false" outlineLevel="0" collapsed="false">
      <c r="A882" s="128" t="n">
        <f aca="false">'🤖 Llama-3.1-70b-instruct'!$A$57</f>
        <v>0</v>
      </c>
      <c r="B882" s="9" t="s">
        <v>24</v>
      </c>
      <c r="C882" s="129" t="str">
        <f aca="false">'🤖 Llama-3.1-70b-instruct'!C57</f>
        <v>Base</v>
      </c>
      <c r="D882" s="153" t="n">
        <f aca="false">'🤖 Llama-3.1-70b-instruct'!E57</f>
        <v>0.001901140684</v>
      </c>
      <c r="E882" s="183" t="n">
        <f aca="false">'🤖 Llama-3.1-70b-instruct'!F57</f>
        <v>0</v>
      </c>
      <c r="F882" s="183" t="n">
        <f aca="false">'🤖 Llama-3.1-70b-instruct'!G57</f>
        <v>0</v>
      </c>
      <c r="G882" s="183" t="n">
        <f aca="false">'🤖 Llama-3.1-70b-instruct'!H57</f>
        <v>0</v>
      </c>
      <c r="H882" s="183" t="n">
        <f aca="false">'🤖 Llama-3.1-70b-instruct'!I57</f>
        <v>0</v>
      </c>
      <c r="I882" s="183" t="n">
        <f aca="false">'🤖 Llama-3.1-70b-instruct'!J57</f>
        <v>0</v>
      </c>
    </row>
    <row r="883" customFormat="false" ht="15.75" hidden="false" customHeight="false" outlineLevel="0" collapsed="false">
      <c r="A883" s="128" t="n">
        <f aca="false">'🤖 Llama-3.1-70b-instruct'!$A$57</f>
        <v>0</v>
      </c>
      <c r="B883" s="9" t="s">
        <v>24</v>
      </c>
      <c r="C883" s="129" t="str">
        <f aca="false">'🤖 Llama-3.1-70b-instruct'!C58</f>
        <v>CoT</v>
      </c>
      <c r="D883" s="153" t="n">
        <f aca="false">'🤖 Llama-3.1-70b-instruct'!E58</f>
        <v>0.001901140684</v>
      </c>
      <c r="E883" s="183" t="n">
        <f aca="false">'🤖 Llama-3.1-70b-instruct'!F58</f>
        <v>0</v>
      </c>
      <c r="F883" s="183" t="n">
        <f aca="false">'🤖 Llama-3.1-70b-instruct'!G58</f>
        <v>0</v>
      </c>
      <c r="G883" s="183" t="n">
        <f aca="false">'🤖 Llama-3.1-70b-instruct'!H58</f>
        <v>0</v>
      </c>
      <c r="H883" s="183" t="n">
        <f aca="false">'🤖 Llama-3.1-70b-instruct'!I58</f>
        <v>0</v>
      </c>
      <c r="I883" s="183" t="n">
        <f aca="false">'🤖 Llama-3.1-70b-instruct'!J58</f>
        <v>0</v>
      </c>
    </row>
    <row r="884" customFormat="false" ht="15.75" hidden="false" customHeight="false" outlineLevel="0" collapsed="false">
      <c r="A884" s="128" t="n">
        <f aca="false">'🤖 Llama-3.1-70b-instruct'!$A$57</f>
        <v>0</v>
      </c>
      <c r="B884" s="9" t="s">
        <v>24</v>
      </c>
      <c r="C884" s="129" t="str">
        <f aca="false">'🤖 Llama-3.1-70b-instruct'!C59</f>
        <v>5W1H</v>
      </c>
      <c r="D884" s="153" t="n">
        <f aca="false">'🤖 Llama-3.1-70b-instruct'!E59</f>
        <v>0.001901140684</v>
      </c>
      <c r="E884" s="183" t="n">
        <f aca="false">'🤖 Llama-3.1-70b-instruct'!F59</f>
        <v>0</v>
      </c>
      <c r="F884" s="183" t="n">
        <f aca="false">'🤖 Llama-3.1-70b-instruct'!G59</f>
        <v>0</v>
      </c>
      <c r="G884" s="183" t="n">
        <f aca="false">'🤖 Llama-3.1-70b-instruct'!H59</f>
        <v>0</v>
      </c>
      <c r="H884" s="183" t="n">
        <f aca="false">'🤖 Llama-3.1-70b-instruct'!I59</f>
        <v>0</v>
      </c>
      <c r="I884" s="183" t="n">
        <f aca="false">'🤖 Llama-3.1-70b-instruct'!J59</f>
        <v>0</v>
      </c>
    </row>
    <row r="885" customFormat="false" ht="15.75" hidden="false" customHeight="false" outlineLevel="0" collapsed="false">
      <c r="A885" s="128" t="n">
        <f aca="false">'🤖 Llama-3.1-70b-instruct'!$A$57</f>
        <v>0</v>
      </c>
      <c r="B885" s="9" t="s">
        <v>24</v>
      </c>
      <c r="C885" s="129" t="str">
        <f aca="false">'🤖 Llama-3.1-70b-instruct'!C60</f>
        <v>tldr</v>
      </c>
      <c r="D885" s="153" t="n">
        <f aca="false">'🤖 Llama-3.1-70b-instruct'!E60</f>
        <v>0.001901140684</v>
      </c>
      <c r="E885" s="183" t="n">
        <f aca="false">'🤖 Llama-3.1-70b-instruct'!F60</f>
        <v>0</v>
      </c>
      <c r="F885" s="183" t="n">
        <f aca="false">'🤖 Llama-3.1-70b-instruct'!G60</f>
        <v>0</v>
      </c>
      <c r="G885" s="183" t="n">
        <f aca="false">'🤖 Llama-3.1-70b-instruct'!H60</f>
        <v>0</v>
      </c>
      <c r="H885" s="183" t="n">
        <f aca="false">'🤖 Llama-3.1-70b-instruct'!I60</f>
        <v>0</v>
      </c>
      <c r="I885" s="183" t="n">
        <f aca="false">'🤖 Llama-3.1-70b-instruct'!J60</f>
        <v>0</v>
      </c>
    </row>
    <row r="886" customFormat="false" ht="15.75" hidden="false" customHeight="false" outlineLevel="0" collapsed="false">
      <c r="A886" s="128"/>
      <c r="B886" s="9"/>
      <c r="C886" s="6"/>
      <c r="D886" s="153"/>
      <c r="E886" s="4"/>
      <c r="F886" s="4"/>
      <c r="G886" s="4"/>
      <c r="H886" s="4"/>
      <c r="I886" s="4"/>
    </row>
    <row r="887" customFormat="false" ht="15.75" hidden="false" customHeight="false" outlineLevel="0" collapsed="false">
      <c r="A887" s="128" t="n">
        <f aca="false">'🤖 Llama-3.1-70b-instruct'!$A$62</f>
        <v>0</v>
      </c>
      <c r="B887" s="9" t="s">
        <v>24</v>
      </c>
      <c r="C887" s="129" t="str">
        <f aca="false">'🤖 Llama-3.1-70b-instruct'!C62</f>
        <v>Base</v>
      </c>
      <c r="D887" s="153" t="n">
        <f aca="false">'🤖 Llama-3.1-70b-instruct'!E62</f>
        <v>0.001901140684</v>
      </c>
      <c r="E887" s="183" t="n">
        <f aca="false">'🤖 Llama-3.1-70b-instruct'!F62</f>
        <v>0</v>
      </c>
      <c r="F887" s="183" t="n">
        <f aca="false">'🤖 Llama-3.1-70b-instruct'!G62</f>
        <v>0</v>
      </c>
      <c r="G887" s="183" t="n">
        <f aca="false">'🤖 Llama-3.1-70b-instruct'!H62</f>
        <v>0</v>
      </c>
      <c r="H887" s="183" t="n">
        <f aca="false">'🤖 Llama-3.1-70b-instruct'!I62</f>
        <v>0</v>
      </c>
      <c r="I887" s="183" t="n">
        <f aca="false">'🤖 Llama-3.1-70b-instruct'!J62</f>
        <v>0</v>
      </c>
    </row>
    <row r="888" customFormat="false" ht="15.75" hidden="false" customHeight="false" outlineLevel="0" collapsed="false">
      <c r="A888" s="128" t="n">
        <f aca="false">'🤖 Llama-3.1-70b-instruct'!$A$62</f>
        <v>0</v>
      </c>
      <c r="B888" s="9" t="s">
        <v>24</v>
      </c>
      <c r="C888" s="129" t="str">
        <f aca="false">'🤖 Llama-3.1-70b-instruct'!C63</f>
        <v>CoT</v>
      </c>
      <c r="D888" s="153" t="n">
        <f aca="false">'🤖 Llama-3.1-70b-instruct'!E63</f>
        <v>0.001901140684</v>
      </c>
      <c r="E888" s="183" t="n">
        <f aca="false">'🤖 Llama-3.1-70b-instruct'!F63</f>
        <v>0</v>
      </c>
      <c r="F888" s="183" t="n">
        <f aca="false">'🤖 Llama-3.1-70b-instruct'!G63</f>
        <v>0</v>
      </c>
      <c r="G888" s="183" t="n">
        <f aca="false">'🤖 Llama-3.1-70b-instruct'!H63</f>
        <v>0</v>
      </c>
      <c r="H888" s="183" t="n">
        <f aca="false">'🤖 Llama-3.1-70b-instruct'!I63</f>
        <v>0</v>
      </c>
      <c r="I888" s="183" t="n">
        <f aca="false">'🤖 Llama-3.1-70b-instruct'!J63</f>
        <v>0</v>
      </c>
    </row>
    <row r="889" customFormat="false" ht="15.75" hidden="false" customHeight="false" outlineLevel="0" collapsed="false">
      <c r="A889" s="128" t="n">
        <f aca="false">'🤖 Llama-3.1-70b-instruct'!$A$62</f>
        <v>0</v>
      </c>
      <c r="B889" s="9" t="s">
        <v>24</v>
      </c>
      <c r="C889" s="129" t="str">
        <f aca="false">'🤖 Llama-3.1-70b-instruct'!C64</f>
        <v>5W1H</v>
      </c>
      <c r="D889" s="153" t="n">
        <f aca="false">'🤖 Llama-3.1-70b-instruct'!E64</f>
        <v>0.001901140684</v>
      </c>
      <c r="E889" s="183" t="n">
        <f aca="false">'🤖 Llama-3.1-70b-instruct'!F64</f>
        <v>0</v>
      </c>
      <c r="F889" s="183" t="n">
        <f aca="false">'🤖 Llama-3.1-70b-instruct'!G64</f>
        <v>0</v>
      </c>
      <c r="G889" s="183" t="n">
        <f aca="false">'🤖 Llama-3.1-70b-instruct'!H64</f>
        <v>0</v>
      </c>
      <c r="H889" s="183" t="n">
        <f aca="false">'🤖 Llama-3.1-70b-instruct'!I64</f>
        <v>0</v>
      </c>
      <c r="I889" s="183" t="n">
        <f aca="false">'🤖 Llama-3.1-70b-instruct'!J64</f>
        <v>0</v>
      </c>
    </row>
    <row r="890" customFormat="false" ht="15.75" hidden="false" customHeight="false" outlineLevel="0" collapsed="false">
      <c r="A890" s="128" t="n">
        <f aca="false">'🤖 Llama-3.1-70b-instruct'!$A$62</f>
        <v>0</v>
      </c>
      <c r="B890" s="9" t="s">
        <v>24</v>
      </c>
      <c r="C890" s="129" t="str">
        <f aca="false">'🤖 Llama-3.1-70b-instruct'!C65</f>
        <v>tldr</v>
      </c>
      <c r="D890" s="153" t="n">
        <f aca="false">'🤖 Llama-3.1-70b-instruct'!E65</f>
        <v>0.001901140684</v>
      </c>
      <c r="E890" s="183" t="n">
        <f aca="false">'🤖 Llama-3.1-70b-instruct'!F65</f>
        <v>0</v>
      </c>
      <c r="F890" s="183" t="n">
        <f aca="false">'🤖 Llama-3.1-70b-instruct'!G65</f>
        <v>0</v>
      </c>
      <c r="G890" s="183" t="n">
        <f aca="false">'🤖 Llama-3.1-70b-instruct'!H65</f>
        <v>0</v>
      </c>
      <c r="H890" s="183" t="n">
        <f aca="false">'🤖 Llama-3.1-70b-instruct'!I65</f>
        <v>0</v>
      </c>
      <c r="I890" s="183" t="n">
        <f aca="false">'🤖 Llama-3.1-70b-instruct'!J65</f>
        <v>0</v>
      </c>
    </row>
    <row r="891" customFormat="false" ht="15.75" hidden="false" customHeight="false" outlineLevel="0" collapsed="false">
      <c r="A891" s="128"/>
      <c r="B891" s="9"/>
      <c r="C891" s="6"/>
      <c r="D891" s="153"/>
      <c r="E891" s="4"/>
      <c r="F891" s="4"/>
      <c r="G891" s="4"/>
      <c r="H891" s="4"/>
      <c r="I891" s="4"/>
    </row>
    <row r="892" customFormat="false" ht="15.75" hidden="false" customHeight="false" outlineLevel="0" collapsed="false">
      <c r="A892" s="128" t="n">
        <f aca="false">'🤖 Llama-3.1-70b-instruct'!$A$67</f>
        <v>0</v>
      </c>
      <c r="B892" s="9" t="s">
        <v>24</v>
      </c>
      <c r="C892" s="129" t="str">
        <f aca="false">'🤖 Llama-3.1-70b-instruct'!C67</f>
        <v>Base</v>
      </c>
      <c r="D892" s="153" t="n">
        <f aca="false">'🤖 Llama-3.1-70b-instruct'!E67</f>
        <v>0.001901140684</v>
      </c>
      <c r="E892" s="183" t="n">
        <f aca="false">'🤖 Llama-3.1-70b-instruct'!F67</f>
        <v>0</v>
      </c>
      <c r="F892" s="183" t="n">
        <f aca="false">'🤖 Llama-3.1-70b-instruct'!G67</f>
        <v>0</v>
      </c>
      <c r="G892" s="183" t="n">
        <f aca="false">'🤖 Llama-3.1-70b-instruct'!H67</f>
        <v>0</v>
      </c>
      <c r="H892" s="183" t="n">
        <f aca="false">'🤖 Llama-3.1-70b-instruct'!I67</f>
        <v>0</v>
      </c>
      <c r="I892" s="183" t="n">
        <f aca="false">'🤖 Llama-3.1-70b-instruct'!J67</f>
        <v>0</v>
      </c>
    </row>
    <row r="893" customFormat="false" ht="15.75" hidden="false" customHeight="false" outlineLevel="0" collapsed="false">
      <c r="A893" s="128" t="n">
        <f aca="false">'🤖 Llama-3.1-70b-instruct'!$A$67</f>
        <v>0</v>
      </c>
      <c r="B893" s="9" t="s">
        <v>24</v>
      </c>
      <c r="C893" s="129" t="str">
        <f aca="false">'🤖 Llama-3.1-70b-instruct'!C68</f>
        <v>CoT</v>
      </c>
      <c r="D893" s="153" t="n">
        <f aca="false">'🤖 Llama-3.1-70b-instruct'!E68</f>
        <v>0.001901140684</v>
      </c>
      <c r="E893" s="183" t="n">
        <f aca="false">'🤖 Llama-3.1-70b-instruct'!F68</f>
        <v>0</v>
      </c>
      <c r="F893" s="183" t="n">
        <f aca="false">'🤖 Llama-3.1-70b-instruct'!G68</f>
        <v>0</v>
      </c>
      <c r="G893" s="183" t="n">
        <f aca="false">'🤖 Llama-3.1-70b-instruct'!H68</f>
        <v>0</v>
      </c>
      <c r="H893" s="183" t="n">
        <f aca="false">'🤖 Llama-3.1-70b-instruct'!I68</f>
        <v>0</v>
      </c>
      <c r="I893" s="183" t="n">
        <f aca="false">'🤖 Llama-3.1-70b-instruct'!J68</f>
        <v>0</v>
      </c>
    </row>
    <row r="894" customFormat="false" ht="15.75" hidden="false" customHeight="false" outlineLevel="0" collapsed="false">
      <c r="A894" s="128" t="n">
        <f aca="false">'🤖 Llama-3.1-70b-instruct'!$A$67</f>
        <v>0</v>
      </c>
      <c r="B894" s="9" t="s">
        <v>24</v>
      </c>
      <c r="C894" s="129" t="str">
        <f aca="false">'🤖 Llama-3.1-70b-instruct'!C69</f>
        <v>5W1H</v>
      </c>
      <c r="D894" s="153" t="n">
        <f aca="false">'🤖 Llama-3.1-70b-instruct'!E69</f>
        <v>0.001901140684</v>
      </c>
      <c r="E894" s="183" t="n">
        <f aca="false">'🤖 Llama-3.1-70b-instruct'!F69</f>
        <v>0</v>
      </c>
      <c r="F894" s="183" t="n">
        <f aca="false">'🤖 Llama-3.1-70b-instruct'!G69</f>
        <v>0</v>
      </c>
      <c r="G894" s="183" t="n">
        <f aca="false">'🤖 Llama-3.1-70b-instruct'!H69</f>
        <v>0</v>
      </c>
      <c r="H894" s="183" t="n">
        <f aca="false">'🤖 Llama-3.1-70b-instruct'!I69</f>
        <v>0</v>
      </c>
      <c r="I894" s="183" t="n">
        <f aca="false">'🤖 Llama-3.1-70b-instruct'!J69</f>
        <v>0</v>
      </c>
    </row>
    <row r="895" customFormat="false" ht="15.75" hidden="false" customHeight="false" outlineLevel="0" collapsed="false">
      <c r="A895" s="128" t="n">
        <f aca="false">'🤖 Llama-3.1-70b-instruct'!$A$67</f>
        <v>0</v>
      </c>
      <c r="B895" s="9" t="s">
        <v>24</v>
      </c>
      <c r="C895" s="129" t="str">
        <f aca="false">'🤖 Llama-3.1-70b-instruct'!C70</f>
        <v>tldr</v>
      </c>
      <c r="D895" s="153" t="n">
        <f aca="false">'🤖 Llama-3.1-70b-instruct'!E70</f>
        <v>0.001901140684</v>
      </c>
      <c r="E895" s="183" t="n">
        <f aca="false">'🤖 Llama-3.1-70b-instruct'!F70</f>
        <v>0</v>
      </c>
      <c r="F895" s="183" t="n">
        <f aca="false">'🤖 Llama-3.1-70b-instruct'!G70</f>
        <v>0</v>
      </c>
      <c r="G895" s="183" t="n">
        <f aca="false">'🤖 Llama-3.1-70b-instruct'!H70</f>
        <v>0</v>
      </c>
      <c r="H895" s="183" t="n">
        <f aca="false">'🤖 Llama-3.1-70b-instruct'!I70</f>
        <v>0</v>
      </c>
      <c r="I895" s="183" t="n">
        <f aca="false">'🤖 Llama-3.1-70b-instruct'!J70</f>
        <v>0</v>
      </c>
    </row>
    <row r="896" customFormat="false" ht="15.75" hidden="false" customHeight="false" outlineLevel="0" collapsed="false">
      <c r="A896" s="128"/>
      <c r="B896" s="9"/>
      <c r="C896" s="6"/>
      <c r="D896" s="153"/>
      <c r="E896" s="4"/>
      <c r="F896" s="4"/>
      <c r="G896" s="4"/>
      <c r="H896" s="4"/>
      <c r="I896" s="4"/>
    </row>
    <row r="897" customFormat="false" ht="15.75" hidden="false" customHeight="false" outlineLevel="0" collapsed="false">
      <c r="A897" s="128" t="n">
        <f aca="false">'🤖 Llama-3.1-70b-instruct'!$A$72</f>
        <v>0</v>
      </c>
      <c r="B897" s="9" t="s">
        <v>24</v>
      </c>
      <c r="C897" s="129" t="str">
        <f aca="false">'🤖 Llama-3.1-70b-instruct'!C72</f>
        <v>Base</v>
      </c>
      <c r="D897" s="153" t="n">
        <f aca="false">'🤖 Llama-3.1-70b-instruct'!E72</f>
        <v>0.001901140684</v>
      </c>
      <c r="E897" s="183" t="n">
        <f aca="false">'🤖 Llama-3.1-70b-instruct'!F72</f>
        <v>0</v>
      </c>
      <c r="F897" s="183" t="n">
        <f aca="false">'🤖 Llama-3.1-70b-instruct'!G72</f>
        <v>0</v>
      </c>
      <c r="G897" s="183" t="n">
        <f aca="false">'🤖 Llama-3.1-70b-instruct'!H72</f>
        <v>0</v>
      </c>
      <c r="H897" s="183" t="n">
        <f aca="false">'🤖 Llama-3.1-70b-instruct'!I72</f>
        <v>0</v>
      </c>
      <c r="I897" s="183" t="n">
        <f aca="false">'🤖 Llama-3.1-70b-instruct'!J72</f>
        <v>0</v>
      </c>
    </row>
    <row r="898" customFormat="false" ht="15.75" hidden="false" customHeight="false" outlineLevel="0" collapsed="false">
      <c r="A898" s="128" t="n">
        <f aca="false">'🤖 Llama-3.1-70b-instruct'!$A$72</f>
        <v>0</v>
      </c>
      <c r="B898" s="9" t="s">
        <v>24</v>
      </c>
      <c r="C898" s="129" t="str">
        <f aca="false">'🤖 Llama-3.1-70b-instruct'!C73</f>
        <v>CoT</v>
      </c>
      <c r="D898" s="153" t="n">
        <f aca="false">'🤖 Llama-3.1-70b-instruct'!E73</f>
        <v>0.001901140684</v>
      </c>
      <c r="E898" s="183" t="n">
        <f aca="false">'🤖 Llama-3.1-70b-instruct'!F73</f>
        <v>0</v>
      </c>
      <c r="F898" s="183" t="n">
        <f aca="false">'🤖 Llama-3.1-70b-instruct'!G73</f>
        <v>0</v>
      </c>
      <c r="G898" s="183" t="n">
        <f aca="false">'🤖 Llama-3.1-70b-instruct'!H73</f>
        <v>0</v>
      </c>
      <c r="H898" s="183" t="n">
        <f aca="false">'🤖 Llama-3.1-70b-instruct'!I73</f>
        <v>0</v>
      </c>
      <c r="I898" s="183" t="n">
        <f aca="false">'🤖 Llama-3.1-70b-instruct'!J73</f>
        <v>0</v>
      </c>
    </row>
    <row r="899" customFormat="false" ht="15.75" hidden="false" customHeight="false" outlineLevel="0" collapsed="false">
      <c r="A899" s="128" t="n">
        <f aca="false">'🤖 Llama-3.1-70b-instruct'!$A$72</f>
        <v>0</v>
      </c>
      <c r="B899" s="9" t="s">
        <v>24</v>
      </c>
      <c r="C899" s="129" t="str">
        <f aca="false">'🤖 Llama-3.1-70b-instruct'!C74</f>
        <v>5W1H</v>
      </c>
      <c r="D899" s="153" t="n">
        <f aca="false">'🤖 Llama-3.1-70b-instruct'!E74</f>
        <v>0.001901140684</v>
      </c>
      <c r="E899" s="183" t="n">
        <f aca="false">'🤖 Llama-3.1-70b-instruct'!F74</f>
        <v>0</v>
      </c>
      <c r="F899" s="183" t="n">
        <f aca="false">'🤖 Llama-3.1-70b-instruct'!G74</f>
        <v>0</v>
      </c>
      <c r="G899" s="183" t="n">
        <f aca="false">'🤖 Llama-3.1-70b-instruct'!H74</f>
        <v>0</v>
      </c>
      <c r="H899" s="183" t="n">
        <f aca="false">'🤖 Llama-3.1-70b-instruct'!I74</f>
        <v>0</v>
      </c>
      <c r="I899" s="183" t="n">
        <f aca="false">'🤖 Llama-3.1-70b-instruct'!J74</f>
        <v>0</v>
      </c>
    </row>
    <row r="900" customFormat="false" ht="15.75" hidden="false" customHeight="false" outlineLevel="0" collapsed="false">
      <c r="A900" s="128" t="n">
        <f aca="false">'🤖 Llama-3.1-70b-instruct'!$A$72</f>
        <v>0</v>
      </c>
      <c r="B900" s="9" t="s">
        <v>24</v>
      </c>
      <c r="C900" s="129" t="str">
        <f aca="false">'🤖 Llama-3.1-70b-instruct'!C75</f>
        <v>tldr</v>
      </c>
      <c r="D900" s="153" t="n">
        <f aca="false">'🤖 Llama-3.1-70b-instruct'!E75</f>
        <v>0.001901140684</v>
      </c>
      <c r="E900" s="183" t="n">
        <f aca="false">'🤖 Llama-3.1-70b-instruct'!F75</f>
        <v>0</v>
      </c>
      <c r="F900" s="183" t="n">
        <f aca="false">'🤖 Llama-3.1-70b-instruct'!G75</f>
        <v>0</v>
      </c>
      <c r="G900" s="183" t="n">
        <f aca="false">'🤖 Llama-3.1-70b-instruct'!H75</f>
        <v>0</v>
      </c>
      <c r="H900" s="183" t="n">
        <f aca="false">'🤖 Llama-3.1-70b-instruct'!I75</f>
        <v>0</v>
      </c>
      <c r="I900" s="183" t="n">
        <f aca="false">'🤖 Llama-3.1-70b-instruct'!J75</f>
        <v>0</v>
      </c>
    </row>
    <row r="901" customFormat="false" ht="15.75" hidden="false" customHeight="false" outlineLevel="0" collapsed="false">
      <c r="A901" s="128"/>
      <c r="B901" s="9"/>
      <c r="C901" s="6"/>
      <c r="D901" s="153"/>
      <c r="E901" s="4"/>
      <c r="F901" s="4"/>
      <c r="G901" s="4"/>
      <c r="H901" s="4"/>
      <c r="I901" s="4"/>
    </row>
    <row r="902" customFormat="false" ht="15.75" hidden="false" customHeight="false" outlineLevel="0" collapsed="false">
      <c r="A902" s="128" t="n">
        <f aca="false">'🤖 Llama-3.1-70b-instruct'!$A$77</f>
        <v>0</v>
      </c>
      <c r="B902" s="9" t="s">
        <v>24</v>
      </c>
      <c r="C902" s="129" t="str">
        <f aca="false">'🤖 Llama-3.1-70b-instruct'!C77</f>
        <v>Base</v>
      </c>
      <c r="D902" s="153" t="n">
        <f aca="false">'🤖 Llama-3.1-70b-instruct'!E77</f>
        <v>0.001901140684</v>
      </c>
      <c r="E902" s="183" t="n">
        <f aca="false">'🤖 Llama-3.1-70b-instruct'!F77</f>
        <v>0</v>
      </c>
      <c r="F902" s="183" t="n">
        <f aca="false">'🤖 Llama-3.1-70b-instruct'!G77</f>
        <v>0</v>
      </c>
      <c r="G902" s="183" t="n">
        <f aca="false">'🤖 Llama-3.1-70b-instruct'!H77</f>
        <v>0</v>
      </c>
      <c r="H902" s="183" t="n">
        <f aca="false">'🤖 Llama-3.1-70b-instruct'!I77</f>
        <v>0</v>
      </c>
      <c r="I902" s="183" t="n">
        <f aca="false">'🤖 Llama-3.1-70b-instruct'!J77</f>
        <v>0</v>
      </c>
    </row>
    <row r="903" customFormat="false" ht="15.75" hidden="false" customHeight="false" outlineLevel="0" collapsed="false">
      <c r="A903" s="128" t="n">
        <f aca="false">'🤖 Llama-3.1-70b-instruct'!$A$77</f>
        <v>0</v>
      </c>
      <c r="B903" s="9" t="s">
        <v>24</v>
      </c>
      <c r="C903" s="129" t="str">
        <f aca="false">'🤖 Llama-3.1-70b-instruct'!C78</f>
        <v>CoT</v>
      </c>
      <c r="D903" s="153" t="n">
        <f aca="false">'🤖 Llama-3.1-70b-instruct'!E78</f>
        <v>0.001901140684</v>
      </c>
      <c r="E903" s="183" t="n">
        <f aca="false">'🤖 Llama-3.1-70b-instruct'!F78</f>
        <v>0</v>
      </c>
      <c r="F903" s="183" t="n">
        <f aca="false">'🤖 Llama-3.1-70b-instruct'!G78</f>
        <v>0</v>
      </c>
      <c r="G903" s="183" t="n">
        <f aca="false">'🤖 Llama-3.1-70b-instruct'!H78</f>
        <v>0</v>
      </c>
      <c r="H903" s="183" t="n">
        <f aca="false">'🤖 Llama-3.1-70b-instruct'!I78</f>
        <v>0</v>
      </c>
      <c r="I903" s="183" t="n">
        <f aca="false">'🤖 Llama-3.1-70b-instruct'!J78</f>
        <v>0</v>
      </c>
    </row>
    <row r="904" customFormat="false" ht="15.75" hidden="false" customHeight="false" outlineLevel="0" collapsed="false">
      <c r="A904" s="128" t="n">
        <f aca="false">'🤖 Llama-3.1-70b-instruct'!$A$77</f>
        <v>0</v>
      </c>
      <c r="B904" s="9" t="s">
        <v>24</v>
      </c>
      <c r="C904" s="129" t="str">
        <f aca="false">'🤖 Llama-3.1-70b-instruct'!C79</f>
        <v>5W1H</v>
      </c>
      <c r="D904" s="153" t="n">
        <f aca="false">'🤖 Llama-3.1-70b-instruct'!E79</f>
        <v>0.001901140684</v>
      </c>
      <c r="E904" s="183" t="n">
        <f aca="false">'🤖 Llama-3.1-70b-instruct'!F79</f>
        <v>0</v>
      </c>
      <c r="F904" s="183" t="n">
        <f aca="false">'🤖 Llama-3.1-70b-instruct'!G79</f>
        <v>0</v>
      </c>
      <c r="G904" s="183" t="n">
        <f aca="false">'🤖 Llama-3.1-70b-instruct'!H79</f>
        <v>0</v>
      </c>
      <c r="H904" s="183" t="n">
        <f aca="false">'🤖 Llama-3.1-70b-instruct'!I79</f>
        <v>0</v>
      </c>
      <c r="I904" s="183" t="n">
        <f aca="false">'🤖 Llama-3.1-70b-instruct'!J79</f>
        <v>0</v>
      </c>
    </row>
    <row r="905" customFormat="false" ht="15.75" hidden="false" customHeight="false" outlineLevel="0" collapsed="false">
      <c r="A905" s="128" t="n">
        <f aca="false">'🤖 Llama-3.1-70b-instruct'!$A$77</f>
        <v>0</v>
      </c>
      <c r="B905" s="9" t="s">
        <v>24</v>
      </c>
      <c r="C905" s="129" t="str">
        <f aca="false">'🤖 Llama-3.1-70b-instruct'!C80</f>
        <v>tldr</v>
      </c>
      <c r="D905" s="153" t="n">
        <f aca="false">'🤖 Llama-3.1-70b-instruct'!E80</f>
        <v>0.001901140684</v>
      </c>
      <c r="E905" s="183" t="n">
        <f aca="false">'🤖 Llama-3.1-70b-instruct'!F80</f>
        <v>0</v>
      </c>
      <c r="F905" s="183" t="n">
        <f aca="false">'🤖 Llama-3.1-70b-instruct'!G80</f>
        <v>0</v>
      </c>
      <c r="G905" s="183" t="n">
        <f aca="false">'🤖 Llama-3.1-70b-instruct'!H80</f>
        <v>0</v>
      </c>
      <c r="H905" s="183" t="n">
        <f aca="false">'🤖 Llama-3.1-70b-instruct'!I80</f>
        <v>0</v>
      </c>
      <c r="I905" s="183" t="n">
        <f aca="false">'🤖 Llama-3.1-70b-instruct'!J80</f>
        <v>0</v>
      </c>
    </row>
    <row r="906" customFormat="false" ht="15.75" hidden="false" customHeight="false" outlineLevel="0" collapsed="false">
      <c r="A906" s="128"/>
      <c r="B906" s="9"/>
      <c r="C906" s="6"/>
      <c r="D906" s="153"/>
      <c r="E906" s="4"/>
      <c r="F906" s="4"/>
      <c r="G906" s="4"/>
      <c r="H906" s="4"/>
      <c r="I906" s="4"/>
    </row>
    <row r="907" customFormat="false" ht="15.75" hidden="false" customHeight="false" outlineLevel="0" collapsed="false">
      <c r="A907" s="128" t="n">
        <f aca="false">'🤖 Llama-3.1-70b-instruct'!$A$82</f>
        <v>0</v>
      </c>
      <c r="B907" s="9" t="s">
        <v>24</v>
      </c>
      <c r="C907" s="129" t="str">
        <f aca="false">'🤖 Llama-3.1-70b-instruct'!C82</f>
        <v>Base</v>
      </c>
      <c r="D907" s="153" t="n">
        <f aca="false">'🤖 Llama-3.1-70b-instruct'!E82</f>
        <v>0.001901140684</v>
      </c>
      <c r="E907" s="183" t="n">
        <f aca="false">'🤖 Llama-3.1-70b-instruct'!F82</f>
        <v>0</v>
      </c>
      <c r="F907" s="183" t="n">
        <f aca="false">'🤖 Llama-3.1-70b-instruct'!G82</f>
        <v>0</v>
      </c>
      <c r="G907" s="183" t="n">
        <f aca="false">'🤖 Llama-3.1-70b-instruct'!H82</f>
        <v>0</v>
      </c>
      <c r="H907" s="183" t="n">
        <f aca="false">'🤖 Llama-3.1-70b-instruct'!I82</f>
        <v>0</v>
      </c>
      <c r="I907" s="183" t="n">
        <f aca="false">'🤖 Llama-3.1-70b-instruct'!J82</f>
        <v>0</v>
      </c>
    </row>
    <row r="908" customFormat="false" ht="15.75" hidden="false" customHeight="false" outlineLevel="0" collapsed="false">
      <c r="A908" s="128" t="n">
        <f aca="false">'🤖 Llama-3.1-70b-instruct'!$A$82</f>
        <v>0</v>
      </c>
      <c r="B908" s="9" t="s">
        <v>24</v>
      </c>
      <c r="C908" s="129" t="str">
        <f aca="false">'🤖 Llama-3.1-70b-instruct'!C83</f>
        <v>CoT</v>
      </c>
      <c r="D908" s="153" t="n">
        <f aca="false">'🤖 Llama-3.1-70b-instruct'!E83</f>
        <v>0.001901140684</v>
      </c>
      <c r="E908" s="183" t="n">
        <f aca="false">'🤖 Llama-3.1-70b-instruct'!F83</f>
        <v>0</v>
      </c>
      <c r="F908" s="183" t="n">
        <f aca="false">'🤖 Llama-3.1-70b-instruct'!G83</f>
        <v>0</v>
      </c>
      <c r="G908" s="183" t="n">
        <f aca="false">'🤖 Llama-3.1-70b-instruct'!H83</f>
        <v>0</v>
      </c>
      <c r="H908" s="183" t="n">
        <f aca="false">'🤖 Llama-3.1-70b-instruct'!I83</f>
        <v>0</v>
      </c>
      <c r="I908" s="183" t="n">
        <f aca="false">'🤖 Llama-3.1-70b-instruct'!J83</f>
        <v>0</v>
      </c>
    </row>
    <row r="909" customFormat="false" ht="15.75" hidden="false" customHeight="false" outlineLevel="0" collapsed="false">
      <c r="A909" s="128" t="n">
        <f aca="false">'🤖 Llama-3.1-70b-instruct'!$A$82</f>
        <v>0</v>
      </c>
      <c r="B909" s="9" t="s">
        <v>24</v>
      </c>
      <c r="C909" s="129" t="str">
        <f aca="false">'🤖 Llama-3.1-70b-instruct'!C84</f>
        <v>5W1H</v>
      </c>
      <c r="D909" s="153" t="n">
        <f aca="false">'🤖 Llama-3.1-70b-instruct'!E84</f>
        <v>0.001901140684</v>
      </c>
      <c r="E909" s="183" t="n">
        <f aca="false">'🤖 Llama-3.1-70b-instruct'!F84</f>
        <v>0</v>
      </c>
      <c r="F909" s="183" t="n">
        <f aca="false">'🤖 Llama-3.1-70b-instruct'!G84</f>
        <v>0</v>
      </c>
      <c r="G909" s="183" t="n">
        <f aca="false">'🤖 Llama-3.1-70b-instruct'!H84</f>
        <v>0</v>
      </c>
      <c r="H909" s="183" t="n">
        <f aca="false">'🤖 Llama-3.1-70b-instruct'!I84</f>
        <v>0</v>
      </c>
      <c r="I909" s="183" t="n">
        <f aca="false">'🤖 Llama-3.1-70b-instruct'!J84</f>
        <v>0</v>
      </c>
    </row>
    <row r="910" customFormat="false" ht="15.75" hidden="false" customHeight="false" outlineLevel="0" collapsed="false">
      <c r="A910" s="128" t="n">
        <f aca="false">'🤖 Llama-3.1-70b-instruct'!$A$82</f>
        <v>0</v>
      </c>
      <c r="B910" s="9" t="s">
        <v>24</v>
      </c>
      <c r="C910" s="129" t="str">
        <f aca="false">'🤖 Llama-3.1-70b-instruct'!C85</f>
        <v>tldr</v>
      </c>
      <c r="D910" s="153" t="n">
        <f aca="false">'🤖 Llama-3.1-70b-instruct'!E85</f>
        <v>0.001901140684</v>
      </c>
      <c r="E910" s="183" t="n">
        <f aca="false">'🤖 Llama-3.1-70b-instruct'!F85</f>
        <v>0</v>
      </c>
      <c r="F910" s="183" t="n">
        <f aca="false">'🤖 Llama-3.1-70b-instruct'!G85</f>
        <v>0</v>
      </c>
      <c r="G910" s="183" t="n">
        <f aca="false">'🤖 Llama-3.1-70b-instruct'!H85</f>
        <v>0</v>
      </c>
      <c r="H910" s="183" t="n">
        <f aca="false">'🤖 Llama-3.1-70b-instruct'!I85</f>
        <v>0</v>
      </c>
      <c r="I910" s="183" t="n">
        <f aca="false">'🤖 Llama-3.1-70b-instruct'!J85</f>
        <v>0</v>
      </c>
    </row>
    <row r="911" customFormat="false" ht="15.75" hidden="false" customHeight="false" outlineLevel="0" collapsed="false">
      <c r="A911" s="128"/>
      <c r="B911" s="9"/>
      <c r="C911" s="6"/>
      <c r="D911" s="153"/>
      <c r="E911" s="4"/>
      <c r="F911" s="4"/>
      <c r="G911" s="4"/>
      <c r="H911" s="4"/>
      <c r="I911" s="4"/>
    </row>
    <row r="912" customFormat="false" ht="15.75" hidden="false" customHeight="false" outlineLevel="0" collapsed="false">
      <c r="A912" s="128" t="n">
        <f aca="false">'🤖 Llama-3.1-70b-instruct'!$A$87</f>
        <v>0</v>
      </c>
      <c r="B912" s="9" t="s">
        <v>24</v>
      </c>
      <c r="C912" s="129" t="str">
        <f aca="false">'🤖 Llama-3.1-70b-instruct'!C87</f>
        <v>Base</v>
      </c>
      <c r="D912" s="153" t="n">
        <f aca="false">'🤖 Llama-3.1-70b-instruct'!E87</f>
        <v>0.001901140684</v>
      </c>
      <c r="E912" s="183" t="n">
        <f aca="false">'🤖 Llama-3.1-70b-instruct'!F87</f>
        <v>0</v>
      </c>
      <c r="F912" s="183" t="n">
        <f aca="false">'🤖 Llama-3.1-70b-instruct'!G87</f>
        <v>0</v>
      </c>
      <c r="G912" s="183" t="n">
        <f aca="false">'🤖 Llama-3.1-70b-instruct'!H87</f>
        <v>0</v>
      </c>
      <c r="H912" s="183" t="n">
        <f aca="false">'🤖 Llama-3.1-70b-instruct'!I87</f>
        <v>0</v>
      </c>
      <c r="I912" s="183" t="n">
        <f aca="false">'🤖 Llama-3.1-70b-instruct'!J87</f>
        <v>0</v>
      </c>
    </row>
    <row r="913" customFormat="false" ht="15.75" hidden="false" customHeight="false" outlineLevel="0" collapsed="false">
      <c r="A913" s="128" t="n">
        <f aca="false">'🤖 Llama-3.1-70b-instruct'!$A$87</f>
        <v>0</v>
      </c>
      <c r="B913" s="9" t="s">
        <v>24</v>
      </c>
      <c r="C913" s="129" t="str">
        <f aca="false">'🤖 Llama-3.1-70b-instruct'!C88</f>
        <v>CoT</v>
      </c>
      <c r="D913" s="153" t="n">
        <f aca="false">'🤖 Llama-3.1-70b-instruct'!E88</f>
        <v>0.001901140684</v>
      </c>
      <c r="E913" s="183" t="n">
        <f aca="false">'🤖 Llama-3.1-70b-instruct'!F88</f>
        <v>0</v>
      </c>
      <c r="F913" s="183" t="n">
        <f aca="false">'🤖 Llama-3.1-70b-instruct'!G88</f>
        <v>0</v>
      </c>
      <c r="G913" s="183" t="n">
        <f aca="false">'🤖 Llama-3.1-70b-instruct'!H88</f>
        <v>0</v>
      </c>
      <c r="H913" s="183" t="n">
        <f aca="false">'🤖 Llama-3.1-70b-instruct'!I88</f>
        <v>0</v>
      </c>
      <c r="I913" s="183" t="n">
        <f aca="false">'🤖 Llama-3.1-70b-instruct'!J88</f>
        <v>0</v>
      </c>
    </row>
    <row r="914" customFormat="false" ht="15.75" hidden="false" customHeight="false" outlineLevel="0" collapsed="false">
      <c r="A914" s="128" t="n">
        <f aca="false">'🤖 Llama-3.1-70b-instruct'!$A$87</f>
        <v>0</v>
      </c>
      <c r="B914" s="9" t="s">
        <v>24</v>
      </c>
      <c r="C914" s="129" t="str">
        <f aca="false">'🤖 Llama-3.1-70b-instruct'!C89</f>
        <v>5W1H</v>
      </c>
      <c r="D914" s="153" t="n">
        <f aca="false">'🤖 Llama-3.1-70b-instruct'!E89</f>
        <v>0.001901140684</v>
      </c>
      <c r="E914" s="183" t="n">
        <f aca="false">'🤖 Llama-3.1-70b-instruct'!F89</f>
        <v>0</v>
      </c>
      <c r="F914" s="183" t="n">
        <f aca="false">'🤖 Llama-3.1-70b-instruct'!G89</f>
        <v>0</v>
      </c>
      <c r="G914" s="183" t="n">
        <f aca="false">'🤖 Llama-3.1-70b-instruct'!H89</f>
        <v>0</v>
      </c>
      <c r="H914" s="183" t="n">
        <f aca="false">'🤖 Llama-3.1-70b-instruct'!I89</f>
        <v>0</v>
      </c>
      <c r="I914" s="183" t="n">
        <f aca="false">'🤖 Llama-3.1-70b-instruct'!J89</f>
        <v>0</v>
      </c>
    </row>
    <row r="915" customFormat="false" ht="15.75" hidden="false" customHeight="false" outlineLevel="0" collapsed="false">
      <c r="A915" s="128" t="n">
        <f aca="false">'🤖 Llama-3.1-70b-instruct'!$A$87</f>
        <v>0</v>
      </c>
      <c r="B915" s="9" t="s">
        <v>24</v>
      </c>
      <c r="C915" s="129" t="str">
        <f aca="false">'🤖 Llama-3.1-70b-instruct'!C90</f>
        <v>tldr</v>
      </c>
      <c r="D915" s="153" t="n">
        <f aca="false">'🤖 Llama-3.1-70b-instruct'!E90</f>
        <v>0.001901140684</v>
      </c>
      <c r="E915" s="183" t="n">
        <f aca="false">'🤖 Llama-3.1-70b-instruct'!F90</f>
        <v>0</v>
      </c>
      <c r="F915" s="183" t="n">
        <f aca="false">'🤖 Llama-3.1-70b-instruct'!G90</f>
        <v>0</v>
      </c>
      <c r="G915" s="183" t="n">
        <f aca="false">'🤖 Llama-3.1-70b-instruct'!H90</f>
        <v>0</v>
      </c>
      <c r="H915" s="183" t="n">
        <f aca="false">'🤖 Llama-3.1-70b-instruct'!I90</f>
        <v>0</v>
      </c>
      <c r="I915" s="183" t="n">
        <f aca="false">'🤖 Llama-3.1-70b-instruct'!J90</f>
        <v>0</v>
      </c>
    </row>
    <row r="916" customFormat="false" ht="15.75" hidden="false" customHeight="false" outlineLevel="0" collapsed="false">
      <c r="A916" s="128"/>
      <c r="B916" s="9"/>
      <c r="C916" s="6"/>
      <c r="D916" s="153"/>
      <c r="E916" s="4"/>
      <c r="F916" s="4"/>
      <c r="G916" s="4"/>
      <c r="H916" s="4"/>
      <c r="I916" s="4"/>
    </row>
    <row r="917" customFormat="false" ht="15.75" hidden="false" customHeight="false" outlineLevel="0" collapsed="false">
      <c r="A917" s="128" t="n">
        <f aca="false">'🤖 Llama-3.1-70b-instruct'!$A$92</f>
        <v>0</v>
      </c>
      <c r="B917" s="9" t="s">
        <v>24</v>
      </c>
      <c r="C917" s="129" t="str">
        <f aca="false">'🤖 Llama-3.1-70b-instruct'!C92</f>
        <v>Base</v>
      </c>
      <c r="D917" s="153" t="n">
        <f aca="false">'🤖 Llama-3.1-70b-instruct'!E92</f>
        <v>0.001901140684</v>
      </c>
      <c r="E917" s="183" t="n">
        <f aca="false">'🤖 Llama-3.1-70b-instruct'!F92</f>
        <v>0</v>
      </c>
      <c r="F917" s="183" t="n">
        <f aca="false">'🤖 Llama-3.1-70b-instruct'!G92</f>
        <v>0</v>
      </c>
      <c r="G917" s="183" t="n">
        <f aca="false">'🤖 Llama-3.1-70b-instruct'!H92</f>
        <v>0</v>
      </c>
      <c r="H917" s="183" t="n">
        <f aca="false">'🤖 Llama-3.1-70b-instruct'!I92</f>
        <v>0</v>
      </c>
      <c r="I917" s="183" t="n">
        <f aca="false">'🤖 Llama-3.1-70b-instruct'!J92</f>
        <v>0</v>
      </c>
    </row>
    <row r="918" customFormat="false" ht="15.75" hidden="false" customHeight="false" outlineLevel="0" collapsed="false">
      <c r="A918" s="128" t="n">
        <f aca="false">'🤖 Llama-3.1-70b-instruct'!$A$92</f>
        <v>0</v>
      </c>
      <c r="B918" s="9" t="s">
        <v>24</v>
      </c>
      <c r="C918" s="129" t="str">
        <f aca="false">'🤖 Llama-3.1-70b-instruct'!C93</f>
        <v>CoT</v>
      </c>
      <c r="D918" s="153" t="n">
        <f aca="false">'🤖 Llama-3.1-70b-instruct'!E93</f>
        <v>0.001901140684</v>
      </c>
      <c r="E918" s="183" t="n">
        <f aca="false">'🤖 Llama-3.1-70b-instruct'!F93</f>
        <v>0</v>
      </c>
      <c r="F918" s="183" t="n">
        <f aca="false">'🤖 Llama-3.1-70b-instruct'!G93</f>
        <v>0</v>
      </c>
      <c r="G918" s="183" t="n">
        <f aca="false">'🤖 Llama-3.1-70b-instruct'!H93</f>
        <v>0</v>
      </c>
      <c r="H918" s="183" t="n">
        <f aca="false">'🤖 Llama-3.1-70b-instruct'!I93</f>
        <v>0</v>
      </c>
      <c r="I918" s="183" t="n">
        <f aca="false">'🤖 Llama-3.1-70b-instruct'!J93</f>
        <v>0</v>
      </c>
    </row>
    <row r="919" customFormat="false" ht="15.75" hidden="false" customHeight="false" outlineLevel="0" collapsed="false">
      <c r="A919" s="128" t="n">
        <f aca="false">'🤖 Llama-3.1-70b-instruct'!$A$92</f>
        <v>0</v>
      </c>
      <c r="B919" s="9" t="s">
        <v>24</v>
      </c>
      <c r="C919" s="129" t="str">
        <f aca="false">'🤖 Llama-3.1-70b-instruct'!C94</f>
        <v>5W1H</v>
      </c>
      <c r="D919" s="153" t="n">
        <f aca="false">'🤖 Llama-3.1-70b-instruct'!E94</f>
        <v>0.001901140684</v>
      </c>
      <c r="E919" s="183" t="n">
        <f aca="false">'🤖 Llama-3.1-70b-instruct'!F94</f>
        <v>0</v>
      </c>
      <c r="F919" s="183" t="n">
        <f aca="false">'🤖 Llama-3.1-70b-instruct'!G94</f>
        <v>0</v>
      </c>
      <c r="G919" s="183" t="n">
        <f aca="false">'🤖 Llama-3.1-70b-instruct'!H94</f>
        <v>0</v>
      </c>
      <c r="H919" s="183" t="n">
        <f aca="false">'🤖 Llama-3.1-70b-instruct'!I94</f>
        <v>0</v>
      </c>
      <c r="I919" s="183" t="n">
        <f aca="false">'🤖 Llama-3.1-70b-instruct'!J94</f>
        <v>0</v>
      </c>
    </row>
    <row r="920" customFormat="false" ht="15.75" hidden="false" customHeight="false" outlineLevel="0" collapsed="false">
      <c r="A920" s="128" t="n">
        <f aca="false">'🤖 Llama-3.1-70b-instruct'!$A$92</f>
        <v>0</v>
      </c>
      <c r="B920" s="9" t="s">
        <v>24</v>
      </c>
      <c r="C920" s="129" t="str">
        <f aca="false">'🤖 Llama-3.1-70b-instruct'!C95</f>
        <v>tldr</v>
      </c>
      <c r="D920" s="153" t="n">
        <f aca="false">'🤖 Llama-3.1-70b-instruct'!E95</f>
        <v>0.001901140684</v>
      </c>
      <c r="E920" s="183" t="n">
        <f aca="false">'🤖 Llama-3.1-70b-instruct'!F95</f>
        <v>0</v>
      </c>
      <c r="F920" s="183" t="n">
        <f aca="false">'🤖 Llama-3.1-70b-instruct'!G95</f>
        <v>0</v>
      </c>
      <c r="G920" s="183" t="n">
        <f aca="false">'🤖 Llama-3.1-70b-instruct'!H95</f>
        <v>0</v>
      </c>
      <c r="H920" s="183" t="n">
        <f aca="false">'🤖 Llama-3.1-70b-instruct'!I95</f>
        <v>0</v>
      </c>
      <c r="I920" s="183" t="n">
        <f aca="false">'🤖 Llama-3.1-70b-instruct'!J95</f>
        <v>0</v>
      </c>
    </row>
    <row r="921" customFormat="false" ht="15.75" hidden="false" customHeight="false" outlineLevel="0" collapsed="false">
      <c r="A921" s="128"/>
      <c r="B921" s="9"/>
      <c r="C921" s="6"/>
      <c r="D921" s="153"/>
      <c r="E921" s="4"/>
      <c r="F921" s="4"/>
      <c r="G921" s="4"/>
      <c r="H921" s="4"/>
      <c r="I921" s="4"/>
    </row>
    <row r="922" customFormat="false" ht="15.75" hidden="false" customHeight="false" outlineLevel="0" collapsed="false">
      <c r="A922" s="128" t="n">
        <f aca="false">'🤖 Llama-3.1-70b-instruct'!$A$97</f>
        <v>0</v>
      </c>
      <c r="B922" s="9" t="s">
        <v>24</v>
      </c>
      <c r="C922" s="129" t="str">
        <f aca="false">'🤖 Llama-3.1-70b-instruct'!C97</f>
        <v>Base</v>
      </c>
      <c r="D922" s="153" t="n">
        <f aca="false">'🤖 Llama-3.1-70b-instruct'!E97</f>
        <v>0.001901140684</v>
      </c>
      <c r="E922" s="183" t="n">
        <f aca="false">'🤖 Llama-3.1-70b-instruct'!F97</f>
        <v>0</v>
      </c>
      <c r="F922" s="183" t="n">
        <f aca="false">'🤖 Llama-3.1-70b-instruct'!G97</f>
        <v>0</v>
      </c>
      <c r="G922" s="183" t="n">
        <f aca="false">'🤖 Llama-3.1-70b-instruct'!H97</f>
        <v>0</v>
      </c>
      <c r="H922" s="183" t="n">
        <f aca="false">'🤖 Llama-3.1-70b-instruct'!I97</f>
        <v>0</v>
      </c>
      <c r="I922" s="183" t="n">
        <f aca="false">'🤖 Llama-3.1-70b-instruct'!J97</f>
        <v>0</v>
      </c>
    </row>
    <row r="923" customFormat="false" ht="15.75" hidden="false" customHeight="false" outlineLevel="0" collapsed="false">
      <c r="A923" s="128" t="n">
        <f aca="false">'🤖 Llama-3.1-70b-instruct'!$A$97</f>
        <v>0</v>
      </c>
      <c r="B923" s="9" t="s">
        <v>24</v>
      </c>
      <c r="C923" s="129" t="str">
        <f aca="false">'🤖 Llama-3.1-70b-instruct'!C98</f>
        <v>CoT</v>
      </c>
      <c r="D923" s="153" t="n">
        <f aca="false">'🤖 Llama-3.1-70b-instruct'!E98</f>
        <v>0.001901140684</v>
      </c>
      <c r="E923" s="183" t="n">
        <f aca="false">'🤖 Llama-3.1-70b-instruct'!F98</f>
        <v>0</v>
      </c>
      <c r="F923" s="183" t="n">
        <f aca="false">'🤖 Llama-3.1-70b-instruct'!G98</f>
        <v>0</v>
      </c>
      <c r="G923" s="183" t="n">
        <f aca="false">'🤖 Llama-3.1-70b-instruct'!H98</f>
        <v>0</v>
      </c>
      <c r="H923" s="183" t="n">
        <f aca="false">'🤖 Llama-3.1-70b-instruct'!I98</f>
        <v>0</v>
      </c>
      <c r="I923" s="183" t="n">
        <f aca="false">'🤖 Llama-3.1-70b-instruct'!J98</f>
        <v>0</v>
      </c>
    </row>
    <row r="924" customFormat="false" ht="15.75" hidden="false" customHeight="false" outlineLevel="0" collapsed="false">
      <c r="A924" s="128" t="n">
        <f aca="false">'🤖 Llama-3.1-70b-instruct'!$A$97</f>
        <v>0</v>
      </c>
      <c r="B924" s="9" t="s">
        <v>24</v>
      </c>
      <c r="C924" s="129" t="str">
        <f aca="false">'🤖 Llama-3.1-70b-instruct'!C99</f>
        <v>5W1H</v>
      </c>
      <c r="D924" s="153" t="n">
        <f aca="false">'🤖 Llama-3.1-70b-instruct'!E99</f>
        <v>0.001901140684</v>
      </c>
      <c r="E924" s="183" t="n">
        <f aca="false">'🤖 Llama-3.1-70b-instruct'!F99</f>
        <v>0</v>
      </c>
      <c r="F924" s="183" t="n">
        <f aca="false">'🤖 Llama-3.1-70b-instruct'!G99</f>
        <v>0</v>
      </c>
      <c r="G924" s="183" t="n">
        <f aca="false">'🤖 Llama-3.1-70b-instruct'!H99</f>
        <v>0</v>
      </c>
      <c r="H924" s="183" t="n">
        <f aca="false">'🤖 Llama-3.1-70b-instruct'!I99</f>
        <v>0</v>
      </c>
      <c r="I924" s="183" t="n">
        <f aca="false">'🤖 Llama-3.1-70b-instruct'!J99</f>
        <v>0</v>
      </c>
    </row>
    <row r="925" customFormat="false" ht="15.75" hidden="false" customHeight="false" outlineLevel="0" collapsed="false">
      <c r="A925" s="128" t="n">
        <f aca="false">'🤖 Llama-3.1-70b-instruct'!$A$97</f>
        <v>0</v>
      </c>
      <c r="B925" s="9" t="s">
        <v>24</v>
      </c>
      <c r="C925" s="129" t="str">
        <f aca="false">'🤖 Llama-3.1-70b-instruct'!C100</f>
        <v>tldr</v>
      </c>
      <c r="D925" s="153" t="n">
        <f aca="false">'🤖 Llama-3.1-70b-instruct'!E100</f>
        <v>0.001901140684</v>
      </c>
      <c r="E925" s="183" t="n">
        <f aca="false">'🤖 Llama-3.1-70b-instruct'!F100</f>
        <v>0</v>
      </c>
      <c r="F925" s="183" t="n">
        <f aca="false">'🤖 Llama-3.1-70b-instruct'!G100</f>
        <v>0</v>
      </c>
      <c r="G925" s="183" t="n">
        <f aca="false">'🤖 Llama-3.1-70b-instruct'!H100</f>
        <v>0</v>
      </c>
      <c r="H925" s="183" t="n">
        <f aca="false">'🤖 Llama-3.1-70b-instruct'!I100</f>
        <v>0</v>
      </c>
      <c r="I925" s="183" t="n">
        <f aca="false">'🤖 Llama-3.1-70b-instruct'!J100</f>
        <v>0</v>
      </c>
    </row>
    <row r="926" customFormat="false" ht="15.75" hidden="false" customHeight="false" outlineLevel="0" collapsed="false">
      <c r="A926" s="128"/>
      <c r="B926" s="9"/>
      <c r="C926" s="6"/>
      <c r="D926" s="153"/>
      <c r="E926" s="4"/>
      <c r="F926" s="4"/>
      <c r="G926" s="4"/>
      <c r="H926" s="4"/>
      <c r="I926" s="4"/>
    </row>
    <row r="927" customFormat="false" ht="15.75" hidden="false" customHeight="false" outlineLevel="0" collapsed="false">
      <c r="A927" s="128" t="n">
        <f aca="false">'🤖 Llama-3.1-70b-instruct'!$A$102</f>
        <v>0</v>
      </c>
      <c r="B927" s="9" t="s">
        <v>24</v>
      </c>
      <c r="C927" s="129" t="str">
        <f aca="false">'🤖 Llama-3.1-70b-instruct'!C102</f>
        <v>Base</v>
      </c>
      <c r="D927" s="153" t="n">
        <f aca="false">'🤖 Llama-3.1-70b-instruct'!E102</f>
        <v>0.001901140684</v>
      </c>
      <c r="E927" s="183" t="n">
        <f aca="false">'🤖 Llama-3.1-70b-instruct'!F102</f>
        <v>0</v>
      </c>
      <c r="F927" s="183" t="n">
        <f aca="false">'🤖 Llama-3.1-70b-instruct'!G102</f>
        <v>0</v>
      </c>
      <c r="G927" s="183" t="n">
        <f aca="false">'🤖 Llama-3.1-70b-instruct'!H102</f>
        <v>0</v>
      </c>
      <c r="H927" s="183" t="n">
        <f aca="false">'🤖 Llama-3.1-70b-instruct'!I102</f>
        <v>0</v>
      </c>
      <c r="I927" s="183" t="n">
        <f aca="false">'🤖 Llama-3.1-70b-instruct'!J102</f>
        <v>0</v>
      </c>
    </row>
    <row r="928" customFormat="false" ht="15.75" hidden="false" customHeight="false" outlineLevel="0" collapsed="false">
      <c r="A928" s="128" t="n">
        <f aca="false">'🤖 Llama-3.1-70b-instruct'!$A$102</f>
        <v>0</v>
      </c>
      <c r="B928" s="9" t="s">
        <v>24</v>
      </c>
      <c r="C928" s="129" t="str">
        <f aca="false">'🤖 Llama-3.1-70b-instruct'!C103</f>
        <v>CoT</v>
      </c>
      <c r="D928" s="153" t="n">
        <f aca="false">'🤖 Llama-3.1-70b-instruct'!E103</f>
        <v>0.001901140684</v>
      </c>
      <c r="E928" s="183" t="n">
        <f aca="false">'🤖 Llama-3.1-70b-instruct'!F103</f>
        <v>0</v>
      </c>
      <c r="F928" s="183" t="n">
        <f aca="false">'🤖 Llama-3.1-70b-instruct'!G103</f>
        <v>0</v>
      </c>
      <c r="G928" s="183" t="n">
        <f aca="false">'🤖 Llama-3.1-70b-instruct'!H103</f>
        <v>0</v>
      </c>
      <c r="H928" s="183" t="n">
        <f aca="false">'🤖 Llama-3.1-70b-instruct'!I103</f>
        <v>0</v>
      </c>
      <c r="I928" s="183" t="n">
        <f aca="false">'🤖 Llama-3.1-70b-instruct'!J103</f>
        <v>0</v>
      </c>
    </row>
    <row r="929" customFormat="false" ht="15.75" hidden="false" customHeight="false" outlineLevel="0" collapsed="false">
      <c r="A929" s="128" t="n">
        <f aca="false">'🤖 Llama-3.1-70b-instruct'!$A$102</f>
        <v>0</v>
      </c>
      <c r="B929" s="9" t="s">
        <v>24</v>
      </c>
      <c r="C929" s="129" t="str">
        <f aca="false">'🤖 Llama-3.1-70b-instruct'!C104</f>
        <v>5W1H</v>
      </c>
      <c r="D929" s="153" t="n">
        <f aca="false">'🤖 Llama-3.1-70b-instruct'!E104</f>
        <v>0.001901140684</v>
      </c>
      <c r="E929" s="183" t="n">
        <f aca="false">'🤖 Llama-3.1-70b-instruct'!F104</f>
        <v>0</v>
      </c>
      <c r="F929" s="183" t="n">
        <f aca="false">'🤖 Llama-3.1-70b-instruct'!G104</f>
        <v>0</v>
      </c>
      <c r="G929" s="183" t="n">
        <f aca="false">'🤖 Llama-3.1-70b-instruct'!H104</f>
        <v>0</v>
      </c>
      <c r="H929" s="183" t="n">
        <f aca="false">'🤖 Llama-3.1-70b-instruct'!I104</f>
        <v>0</v>
      </c>
      <c r="I929" s="183" t="n">
        <f aca="false">'🤖 Llama-3.1-70b-instruct'!J104</f>
        <v>0</v>
      </c>
    </row>
    <row r="930" customFormat="false" ht="15.75" hidden="false" customHeight="false" outlineLevel="0" collapsed="false">
      <c r="A930" s="128" t="n">
        <f aca="false">'🤖 Llama-3.1-70b-instruct'!$A$102</f>
        <v>0</v>
      </c>
      <c r="B930" s="9" t="s">
        <v>24</v>
      </c>
      <c r="C930" s="129" t="str">
        <f aca="false">'🤖 Llama-3.1-70b-instruct'!C105</f>
        <v>tldr</v>
      </c>
      <c r="D930" s="153" t="n">
        <f aca="false">'🤖 Llama-3.1-70b-instruct'!E105</f>
        <v>0.001901140684</v>
      </c>
      <c r="E930" s="183" t="n">
        <f aca="false">'🤖 Llama-3.1-70b-instruct'!F105</f>
        <v>0</v>
      </c>
      <c r="F930" s="183" t="n">
        <f aca="false">'🤖 Llama-3.1-70b-instruct'!G105</f>
        <v>0</v>
      </c>
      <c r="G930" s="183" t="n">
        <f aca="false">'🤖 Llama-3.1-70b-instruct'!H105</f>
        <v>0</v>
      </c>
      <c r="H930" s="183" t="n">
        <f aca="false">'🤖 Llama-3.1-70b-instruct'!I105</f>
        <v>0</v>
      </c>
      <c r="I930" s="183" t="n">
        <f aca="false">'🤖 Llama-3.1-70b-instruct'!J105</f>
        <v>0</v>
      </c>
    </row>
    <row r="931" customFormat="false" ht="15.75" hidden="false" customHeight="false" outlineLevel="0" collapsed="false">
      <c r="A931" s="128"/>
      <c r="B931" s="9"/>
      <c r="C931" s="6"/>
      <c r="D931" s="153"/>
      <c r="E931" s="4"/>
      <c r="F931" s="4"/>
      <c r="G931" s="4"/>
      <c r="H931" s="4"/>
      <c r="I931" s="4"/>
    </row>
    <row r="932" customFormat="false" ht="15.75" hidden="false" customHeight="false" outlineLevel="0" collapsed="false">
      <c r="A932" s="128" t="n">
        <f aca="false">'🤖 Llama-3.1-70b-instruct'!$A$107</f>
        <v>0</v>
      </c>
      <c r="B932" s="9" t="s">
        <v>24</v>
      </c>
      <c r="C932" s="129" t="str">
        <f aca="false">'🤖 Llama-3.1-70b-instruct'!C107</f>
        <v>Base</v>
      </c>
      <c r="D932" s="153" t="n">
        <f aca="false">'🤖 Llama-3.1-70b-instruct'!E107</f>
        <v>0.001901140684</v>
      </c>
      <c r="E932" s="183" t="n">
        <f aca="false">'🤖 Llama-3.1-70b-instruct'!F107</f>
        <v>0</v>
      </c>
      <c r="F932" s="183" t="n">
        <f aca="false">'🤖 Llama-3.1-70b-instruct'!G107</f>
        <v>0</v>
      </c>
      <c r="G932" s="183" t="n">
        <f aca="false">'🤖 Llama-3.1-70b-instruct'!H107</f>
        <v>0</v>
      </c>
      <c r="H932" s="183" t="n">
        <f aca="false">'🤖 Llama-3.1-70b-instruct'!I107</f>
        <v>0</v>
      </c>
      <c r="I932" s="183" t="n">
        <f aca="false">'🤖 Llama-3.1-70b-instruct'!J107</f>
        <v>0</v>
      </c>
    </row>
    <row r="933" customFormat="false" ht="15.75" hidden="false" customHeight="false" outlineLevel="0" collapsed="false">
      <c r="A933" s="128" t="n">
        <f aca="false">'🤖 Llama-3.1-70b-instruct'!$A$107</f>
        <v>0</v>
      </c>
      <c r="B933" s="9" t="s">
        <v>24</v>
      </c>
      <c r="C933" s="129" t="str">
        <f aca="false">'🤖 Llama-3.1-70b-instruct'!C108</f>
        <v>CoT</v>
      </c>
      <c r="D933" s="153" t="n">
        <f aca="false">'🤖 Llama-3.1-70b-instruct'!E108</f>
        <v>0.001901140684</v>
      </c>
      <c r="E933" s="183" t="n">
        <f aca="false">'🤖 Llama-3.1-70b-instruct'!F108</f>
        <v>0</v>
      </c>
      <c r="F933" s="183" t="n">
        <f aca="false">'🤖 Llama-3.1-70b-instruct'!G108</f>
        <v>0</v>
      </c>
      <c r="G933" s="183" t="n">
        <f aca="false">'🤖 Llama-3.1-70b-instruct'!H108</f>
        <v>0</v>
      </c>
      <c r="H933" s="183" t="n">
        <f aca="false">'🤖 Llama-3.1-70b-instruct'!I108</f>
        <v>0</v>
      </c>
      <c r="I933" s="183" t="n">
        <f aca="false">'🤖 Llama-3.1-70b-instruct'!J108</f>
        <v>0</v>
      </c>
    </row>
    <row r="934" customFormat="false" ht="15.75" hidden="false" customHeight="false" outlineLevel="0" collapsed="false">
      <c r="A934" s="128" t="n">
        <f aca="false">'🤖 Llama-3.1-70b-instruct'!$A$107</f>
        <v>0</v>
      </c>
      <c r="B934" s="9" t="s">
        <v>24</v>
      </c>
      <c r="C934" s="129" t="str">
        <f aca="false">'🤖 Llama-3.1-70b-instruct'!C109</f>
        <v>5W1H</v>
      </c>
      <c r="D934" s="153" t="n">
        <f aca="false">'🤖 Llama-3.1-70b-instruct'!E109</f>
        <v>0.001901140684</v>
      </c>
      <c r="E934" s="183" t="n">
        <f aca="false">'🤖 Llama-3.1-70b-instruct'!F109</f>
        <v>0</v>
      </c>
      <c r="F934" s="183" t="n">
        <f aca="false">'🤖 Llama-3.1-70b-instruct'!G109</f>
        <v>0</v>
      </c>
      <c r="G934" s="183" t="n">
        <f aca="false">'🤖 Llama-3.1-70b-instruct'!H109</f>
        <v>0</v>
      </c>
      <c r="H934" s="183" t="n">
        <f aca="false">'🤖 Llama-3.1-70b-instruct'!I109</f>
        <v>0</v>
      </c>
      <c r="I934" s="183" t="n">
        <f aca="false">'🤖 Llama-3.1-70b-instruct'!J109</f>
        <v>0</v>
      </c>
    </row>
    <row r="935" customFormat="false" ht="15.75" hidden="false" customHeight="false" outlineLevel="0" collapsed="false">
      <c r="A935" s="128" t="n">
        <f aca="false">'🤖 Llama-3.1-70b-instruct'!$A$107</f>
        <v>0</v>
      </c>
      <c r="B935" s="9" t="s">
        <v>24</v>
      </c>
      <c r="C935" s="129" t="str">
        <f aca="false">'🤖 Llama-3.1-70b-instruct'!C110</f>
        <v>tldr</v>
      </c>
      <c r="D935" s="153" t="n">
        <f aca="false">'🤖 Llama-3.1-70b-instruct'!E110</f>
        <v>0.001901140684</v>
      </c>
      <c r="E935" s="183" t="n">
        <f aca="false">'🤖 Llama-3.1-70b-instruct'!F110</f>
        <v>0</v>
      </c>
      <c r="F935" s="183" t="n">
        <f aca="false">'🤖 Llama-3.1-70b-instruct'!G110</f>
        <v>0</v>
      </c>
      <c r="G935" s="183" t="n">
        <f aca="false">'🤖 Llama-3.1-70b-instruct'!H110</f>
        <v>0</v>
      </c>
      <c r="H935" s="183" t="n">
        <f aca="false">'🤖 Llama-3.1-70b-instruct'!I110</f>
        <v>0</v>
      </c>
      <c r="I935" s="183" t="n">
        <f aca="false">'🤖 Llama-3.1-70b-instruct'!J110</f>
        <v>0</v>
      </c>
    </row>
    <row r="936" customFormat="false" ht="15.75" hidden="false" customHeight="false" outlineLevel="0" collapsed="false">
      <c r="A936" s="128"/>
      <c r="B936" s="9"/>
      <c r="C936" s="6"/>
      <c r="D936" s="153"/>
      <c r="E936" s="4"/>
      <c r="F936" s="4"/>
      <c r="G936" s="4"/>
      <c r="H936" s="4"/>
      <c r="I936" s="4"/>
    </row>
    <row r="937" customFormat="false" ht="15.75" hidden="false" customHeight="false" outlineLevel="0" collapsed="false">
      <c r="A937" s="128" t="n">
        <f aca="false">'🤖 Llama-3.1-70b-instruct'!$A$112</f>
        <v>0</v>
      </c>
      <c r="B937" s="9" t="s">
        <v>24</v>
      </c>
      <c r="C937" s="129" t="str">
        <f aca="false">'🤖 Llama-3.1-70b-instruct'!C112</f>
        <v>Base</v>
      </c>
      <c r="D937" s="153" t="n">
        <f aca="false">'🤖 Llama-3.1-70b-instruct'!E112</f>
        <v>0.001901140684</v>
      </c>
      <c r="E937" s="183" t="n">
        <f aca="false">'🤖 Llama-3.1-70b-instruct'!F112</f>
        <v>0</v>
      </c>
      <c r="F937" s="183" t="n">
        <f aca="false">'🤖 Llama-3.1-70b-instruct'!G112</f>
        <v>0</v>
      </c>
      <c r="G937" s="183" t="n">
        <f aca="false">'🤖 Llama-3.1-70b-instruct'!H112</f>
        <v>0</v>
      </c>
      <c r="H937" s="183" t="n">
        <f aca="false">'🤖 Llama-3.1-70b-instruct'!I112</f>
        <v>0</v>
      </c>
      <c r="I937" s="183" t="n">
        <f aca="false">'🤖 Llama-3.1-70b-instruct'!J112</f>
        <v>0</v>
      </c>
    </row>
    <row r="938" customFormat="false" ht="15.75" hidden="false" customHeight="false" outlineLevel="0" collapsed="false">
      <c r="A938" s="128" t="n">
        <f aca="false">'🤖 Llama-3.1-70b-instruct'!$A$112</f>
        <v>0</v>
      </c>
      <c r="B938" s="9" t="s">
        <v>24</v>
      </c>
      <c r="C938" s="129" t="str">
        <f aca="false">'🤖 Llama-3.1-70b-instruct'!C113</f>
        <v>CoT</v>
      </c>
      <c r="D938" s="153" t="n">
        <f aca="false">'🤖 Llama-3.1-70b-instruct'!E113</f>
        <v>0.001901140684</v>
      </c>
      <c r="E938" s="183" t="n">
        <f aca="false">'🤖 Llama-3.1-70b-instruct'!F113</f>
        <v>0</v>
      </c>
      <c r="F938" s="183" t="n">
        <f aca="false">'🤖 Llama-3.1-70b-instruct'!G113</f>
        <v>0</v>
      </c>
      <c r="G938" s="183" t="n">
        <f aca="false">'🤖 Llama-3.1-70b-instruct'!H113</f>
        <v>0</v>
      </c>
      <c r="H938" s="183" t="n">
        <f aca="false">'🤖 Llama-3.1-70b-instruct'!I113</f>
        <v>0</v>
      </c>
      <c r="I938" s="183" t="n">
        <f aca="false">'🤖 Llama-3.1-70b-instruct'!J113</f>
        <v>0</v>
      </c>
    </row>
    <row r="939" customFormat="false" ht="15.75" hidden="false" customHeight="false" outlineLevel="0" collapsed="false">
      <c r="A939" s="128" t="n">
        <f aca="false">'🤖 Llama-3.1-70b-instruct'!$A$112</f>
        <v>0</v>
      </c>
      <c r="B939" s="9" t="s">
        <v>24</v>
      </c>
      <c r="C939" s="129" t="str">
        <f aca="false">'🤖 Llama-3.1-70b-instruct'!C114</f>
        <v>5W1H</v>
      </c>
      <c r="D939" s="153" t="n">
        <f aca="false">'🤖 Llama-3.1-70b-instruct'!E114</f>
        <v>0.001901140684</v>
      </c>
      <c r="E939" s="183" t="n">
        <f aca="false">'🤖 Llama-3.1-70b-instruct'!F114</f>
        <v>0</v>
      </c>
      <c r="F939" s="183" t="n">
        <f aca="false">'🤖 Llama-3.1-70b-instruct'!G114</f>
        <v>0</v>
      </c>
      <c r="G939" s="183" t="n">
        <f aca="false">'🤖 Llama-3.1-70b-instruct'!H114</f>
        <v>0</v>
      </c>
      <c r="H939" s="183" t="n">
        <f aca="false">'🤖 Llama-3.1-70b-instruct'!I114</f>
        <v>0</v>
      </c>
      <c r="I939" s="183" t="n">
        <f aca="false">'🤖 Llama-3.1-70b-instruct'!J114</f>
        <v>0</v>
      </c>
    </row>
    <row r="940" customFormat="false" ht="15.75" hidden="false" customHeight="false" outlineLevel="0" collapsed="false">
      <c r="A940" s="128" t="n">
        <f aca="false">'🤖 Llama-3.1-70b-instruct'!$A$112</f>
        <v>0</v>
      </c>
      <c r="B940" s="9" t="s">
        <v>24</v>
      </c>
      <c r="C940" s="129" t="str">
        <f aca="false">'🤖 Llama-3.1-70b-instruct'!C115</f>
        <v>tldr</v>
      </c>
      <c r="D940" s="153" t="n">
        <f aca="false">'🤖 Llama-3.1-70b-instruct'!E115</f>
        <v>0.001901140684</v>
      </c>
      <c r="E940" s="183" t="n">
        <f aca="false">'🤖 Llama-3.1-70b-instruct'!F115</f>
        <v>0</v>
      </c>
      <c r="F940" s="183" t="n">
        <f aca="false">'🤖 Llama-3.1-70b-instruct'!G115</f>
        <v>0</v>
      </c>
      <c r="G940" s="183" t="n">
        <f aca="false">'🤖 Llama-3.1-70b-instruct'!H115</f>
        <v>0</v>
      </c>
      <c r="H940" s="183" t="n">
        <f aca="false">'🤖 Llama-3.1-70b-instruct'!I115</f>
        <v>0</v>
      </c>
      <c r="I940" s="183" t="n">
        <f aca="false">'🤖 Llama-3.1-70b-instruct'!J115</f>
        <v>0</v>
      </c>
    </row>
    <row r="941" customFormat="false" ht="15.75" hidden="false" customHeight="false" outlineLevel="0" collapsed="false">
      <c r="A941" s="128"/>
      <c r="B941" s="9"/>
      <c r="C941" s="6"/>
      <c r="D941" s="153"/>
      <c r="E941" s="4"/>
      <c r="F941" s="4"/>
      <c r="G941" s="4"/>
      <c r="H941" s="4"/>
      <c r="I941" s="4"/>
    </row>
    <row r="942" customFormat="false" ht="15.75" hidden="false" customHeight="false" outlineLevel="0" collapsed="false">
      <c r="A942" s="128" t="n">
        <f aca="false">'🤖 Llama-3.1-70b-instruct'!$A$117</f>
        <v>0</v>
      </c>
      <c r="B942" s="9" t="s">
        <v>24</v>
      </c>
      <c r="C942" s="129" t="str">
        <f aca="false">'🤖 Llama-3.1-70b-instruct'!C117</f>
        <v>Base</v>
      </c>
      <c r="D942" s="153" t="n">
        <f aca="false">'🤖 Llama-3.1-70b-instruct'!E117</f>
        <v>0.001901140684</v>
      </c>
      <c r="E942" s="183" t="n">
        <f aca="false">'🤖 Llama-3.1-70b-instruct'!F117</f>
        <v>0</v>
      </c>
      <c r="F942" s="183" t="n">
        <f aca="false">'🤖 Llama-3.1-70b-instruct'!G117</f>
        <v>0</v>
      </c>
      <c r="G942" s="183" t="n">
        <f aca="false">'🤖 Llama-3.1-70b-instruct'!H117</f>
        <v>0</v>
      </c>
      <c r="H942" s="183" t="n">
        <f aca="false">'🤖 Llama-3.1-70b-instruct'!I117</f>
        <v>0</v>
      </c>
      <c r="I942" s="183" t="n">
        <f aca="false">'🤖 Llama-3.1-70b-instruct'!J117</f>
        <v>0</v>
      </c>
    </row>
    <row r="943" customFormat="false" ht="15.75" hidden="false" customHeight="false" outlineLevel="0" collapsed="false">
      <c r="A943" s="128" t="n">
        <f aca="false">'🤖 Llama-3.1-70b-instruct'!$A$117</f>
        <v>0</v>
      </c>
      <c r="B943" s="9" t="s">
        <v>24</v>
      </c>
      <c r="C943" s="129" t="str">
        <f aca="false">'🤖 Llama-3.1-70b-instruct'!C118</f>
        <v>CoT</v>
      </c>
      <c r="D943" s="153" t="n">
        <f aca="false">'🤖 Llama-3.1-70b-instruct'!E118</f>
        <v>0.001901140684</v>
      </c>
      <c r="E943" s="183" t="n">
        <f aca="false">'🤖 Llama-3.1-70b-instruct'!F118</f>
        <v>0</v>
      </c>
      <c r="F943" s="183" t="n">
        <f aca="false">'🤖 Llama-3.1-70b-instruct'!G118</f>
        <v>0</v>
      </c>
      <c r="G943" s="183" t="n">
        <f aca="false">'🤖 Llama-3.1-70b-instruct'!H118</f>
        <v>0</v>
      </c>
      <c r="H943" s="183" t="n">
        <f aca="false">'🤖 Llama-3.1-70b-instruct'!I118</f>
        <v>0</v>
      </c>
      <c r="I943" s="183" t="n">
        <f aca="false">'🤖 Llama-3.1-70b-instruct'!J118</f>
        <v>0</v>
      </c>
    </row>
    <row r="944" customFormat="false" ht="15.75" hidden="false" customHeight="false" outlineLevel="0" collapsed="false">
      <c r="A944" s="128" t="n">
        <f aca="false">'🤖 Llama-3.1-70b-instruct'!$A$117</f>
        <v>0</v>
      </c>
      <c r="B944" s="9" t="s">
        <v>24</v>
      </c>
      <c r="C944" s="129" t="str">
        <f aca="false">'🤖 Llama-3.1-70b-instruct'!C119</f>
        <v>5W1H</v>
      </c>
      <c r="D944" s="153" t="n">
        <f aca="false">'🤖 Llama-3.1-70b-instruct'!E119</f>
        <v>0.001901140684</v>
      </c>
      <c r="E944" s="183" t="n">
        <f aca="false">'🤖 Llama-3.1-70b-instruct'!F119</f>
        <v>0</v>
      </c>
      <c r="F944" s="183" t="n">
        <f aca="false">'🤖 Llama-3.1-70b-instruct'!G119</f>
        <v>0</v>
      </c>
      <c r="G944" s="183" t="n">
        <f aca="false">'🤖 Llama-3.1-70b-instruct'!H119</f>
        <v>0</v>
      </c>
      <c r="H944" s="183" t="n">
        <f aca="false">'🤖 Llama-3.1-70b-instruct'!I119</f>
        <v>0</v>
      </c>
      <c r="I944" s="183" t="n">
        <f aca="false">'🤖 Llama-3.1-70b-instruct'!J119</f>
        <v>0</v>
      </c>
    </row>
    <row r="945" customFormat="false" ht="15.75" hidden="false" customHeight="false" outlineLevel="0" collapsed="false">
      <c r="A945" s="128" t="n">
        <f aca="false">'🤖 Llama-3.1-70b-instruct'!$A$117</f>
        <v>0</v>
      </c>
      <c r="B945" s="9" t="s">
        <v>24</v>
      </c>
      <c r="C945" s="129" t="str">
        <f aca="false">'🤖 Llama-3.1-70b-instruct'!C120</f>
        <v>tldr</v>
      </c>
      <c r="D945" s="153" t="n">
        <f aca="false">'🤖 Llama-3.1-70b-instruct'!E120</f>
        <v>0.001901140684</v>
      </c>
      <c r="E945" s="183" t="n">
        <f aca="false">'🤖 Llama-3.1-70b-instruct'!F120</f>
        <v>0</v>
      </c>
      <c r="F945" s="183" t="n">
        <f aca="false">'🤖 Llama-3.1-70b-instruct'!G120</f>
        <v>0</v>
      </c>
      <c r="G945" s="183" t="n">
        <f aca="false">'🤖 Llama-3.1-70b-instruct'!H120</f>
        <v>0</v>
      </c>
      <c r="H945" s="183" t="n">
        <f aca="false">'🤖 Llama-3.1-70b-instruct'!I120</f>
        <v>0</v>
      </c>
      <c r="I945" s="183" t="n">
        <f aca="false">'🤖 Llama-3.1-70b-instruct'!J120</f>
        <v>0</v>
      </c>
    </row>
    <row r="946" customFormat="false" ht="15.75" hidden="false" customHeight="false" outlineLevel="0" collapsed="false">
      <c r="A946" s="128"/>
      <c r="B946" s="9"/>
      <c r="C946" s="6"/>
      <c r="D946" s="153"/>
      <c r="E946" s="4"/>
      <c r="F946" s="4"/>
      <c r="G946" s="4"/>
      <c r="H946" s="4"/>
      <c r="I946" s="4"/>
    </row>
    <row r="947" customFormat="false" ht="15.75" hidden="false" customHeight="false" outlineLevel="0" collapsed="false">
      <c r="A947" s="128" t="n">
        <f aca="false">'🤖 Llama-3.1-70b-instruct'!$A$122</f>
        <v>0</v>
      </c>
      <c r="B947" s="9" t="s">
        <v>24</v>
      </c>
      <c r="C947" s="129" t="str">
        <f aca="false">'🤖 Llama-3.1-70b-instruct'!C122</f>
        <v>Base</v>
      </c>
      <c r="D947" s="153" t="n">
        <f aca="false">'🤖 Llama-3.1-70b-instruct'!E122</f>
        <v>0.001901140684</v>
      </c>
      <c r="E947" s="183" t="n">
        <f aca="false">'🤖 Llama-3.1-70b-instruct'!F122</f>
        <v>0</v>
      </c>
      <c r="F947" s="183" t="n">
        <f aca="false">'🤖 Llama-3.1-70b-instruct'!G122</f>
        <v>0</v>
      </c>
      <c r="G947" s="183" t="n">
        <f aca="false">'🤖 Llama-3.1-70b-instruct'!H122</f>
        <v>0</v>
      </c>
      <c r="H947" s="183" t="n">
        <f aca="false">'🤖 Llama-3.1-70b-instruct'!I122</f>
        <v>0</v>
      </c>
      <c r="I947" s="183" t="n">
        <f aca="false">'🤖 Llama-3.1-70b-instruct'!J122</f>
        <v>0</v>
      </c>
    </row>
    <row r="948" customFormat="false" ht="15.75" hidden="false" customHeight="false" outlineLevel="0" collapsed="false">
      <c r="A948" s="128" t="n">
        <f aca="false">'🤖 Llama-3.1-70b-instruct'!$A$122</f>
        <v>0</v>
      </c>
      <c r="B948" s="9" t="s">
        <v>24</v>
      </c>
      <c r="C948" s="129" t="str">
        <f aca="false">'🤖 Llama-3.1-70b-instruct'!C123</f>
        <v>CoT</v>
      </c>
      <c r="D948" s="153" t="n">
        <f aca="false">'🤖 Llama-3.1-70b-instruct'!E123</f>
        <v>0.001901140684</v>
      </c>
      <c r="E948" s="183" t="n">
        <f aca="false">'🤖 Llama-3.1-70b-instruct'!F123</f>
        <v>0</v>
      </c>
      <c r="F948" s="183" t="n">
        <f aca="false">'🤖 Llama-3.1-70b-instruct'!G123</f>
        <v>0</v>
      </c>
      <c r="G948" s="183" t="n">
        <f aca="false">'🤖 Llama-3.1-70b-instruct'!H123</f>
        <v>0</v>
      </c>
      <c r="H948" s="183" t="n">
        <f aca="false">'🤖 Llama-3.1-70b-instruct'!I123</f>
        <v>0</v>
      </c>
      <c r="I948" s="183" t="n">
        <f aca="false">'🤖 Llama-3.1-70b-instruct'!J123</f>
        <v>0</v>
      </c>
    </row>
    <row r="949" customFormat="false" ht="15.75" hidden="false" customHeight="false" outlineLevel="0" collapsed="false">
      <c r="A949" s="128" t="n">
        <f aca="false">'🤖 Llama-3.1-70b-instruct'!$A$122</f>
        <v>0</v>
      </c>
      <c r="B949" s="9" t="s">
        <v>24</v>
      </c>
      <c r="C949" s="129" t="str">
        <f aca="false">'🤖 Llama-3.1-70b-instruct'!C124</f>
        <v>5W1H</v>
      </c>
      <c r="D949" s="153" t="n">
        <f aca="false">'🤖 Llama-3.1-70b-instruct'!E124</f>
        <v>0.001901140684</v>
      </c>
      <c r="E949" s="183" t="n">
        <f aca="false">'🤖 Llama-3.1-70b-instruct'!F124</f>
        <v>0</v>
      </c>
      <c r="F949" s="183" t="n">
        <f aca="false">'🤖 Llama-3.1-70b-instruct'!G124</f>
        <v>0</v>
      </c>
      <c r="G949" s="183" t="n">
        <f aca="false">'🤖 Llama-3.1-70b-instruct'!H124</f>
        <v>0</v>
      </c>
      <c r="H949" s="183" t="n">
        <f aca="false">'🤖 Llama-3.1-70b-instruct'!I124</f>
        <v>0</v>
      </c>
      <c r="I949" s="183" t="n">
        <f aca="false">'🤖 Llama-3.1-70b-instruct'!J124</f>
        <v>0</v>
      </c>
    </row>
    <row r="950" customFormat="false" ht="15.75" hidden="false" customHeight="false" outlineLevel="0" collapsed="false">
      <c r="A950" s="128" t="n">
        <f aca="false">'🤖 Llama-3.1-70b-instruct'!$A$122</f>
        <v>0</v>
      </c>
      <c r="B950" s="9" t="s">
        <v>24</v>
      </c>
      <c r="C950" s="129" t="str">
        <f aca="false">'🤖 Llama-3.1-70b-instruct'!C125</f>
        <v>tldr</v>
      </c>
      <c r="D950" s="153" t="n">
        <f aca="false">'🤖 Llama-3.1-70b-instruct'!E125</f>
        <v>0.001901140684</v>
      </c>
      <c r="E950" s="183" t="n">
        <f aca="false">'🤖 Llama-3.1-70b-instruct'!F125</f>
        <v>0</v>
      </c>
      <c r="F950" s="183" t="n">
        <f aca="false">'🤖 Llama-3.1-70b-instruct'!G125</f>
        <v>0</v>
      </c>
      <c r="G950" s="183" t="n">
        <f aca="false">'🤖 Llama-3.1-70b-instruct'!H125</f>
        <v>0</v>
      </c>
      <c r="H950" s="183" t="n">
        <f aca="false">'🤖 Llama-3.1-70b-instruct'!I125</f>
        <v>0</v>
      </c>
      <c r="I950" s="183" t="n">
        <f aca="false">'🤖 Llama-3.1-70b-instruct'!J125</f>
        <v>0</v>
      </c>
    </row>
    <row r="951" customFormat="false" ht="15.75" hidden="false" customHeight="false" outlineLevel="0" collapsed="false">
      <c r="A951" s="128"/>
      <c r="B951" s="9"/>
      <c r="C951" s="6"/>
      <c r="D951" s="153"/>
      <c r="E951" s="4"/>
      <c r="F951" s="4"/>
      <c r="G951" s="4"/>
      <c r="H951" s="4"/>
      <c r="I951" s="4"/>
    </row>
    <row r="952" customFormat="false" ht="15.75" hidden="false" customHeight="false" outlineLevel="0" collapsed="false">
      <c r="A952" s="128" t="n">
        <f aca="false">'🤖 Llama-3.1-70b-instruct'!$A$127</f>
        <v>0</v>
      </c>
      <c r="B952" s="9" t="s">
        <v>24</v>
      </c>
      <c r="C952" s="129" t="str">
        <f aca="false">'🤖 Llama-3.1-70b-instruct'!C127</f>
        <v>Base</v>
      </c>
      <c r="D952" s="153" t="n">
        <f aca="false">'🤖 Llama-3.1-70b-instruct'!E127</f>
        <v>0.001901140684</v>
      </c>
      <c r="E952" s="183" t="n">
        <f aca="false">'🤖 Llama-3.1-70b-instruct'!F127</f>
        <v>0</v>
      </c>
      <c r="F952" s="183" t="n">
        <f aca="false">'🤖 Llama-3.1-70b-instruct'!G127</f>
        <v>0</v>
      </c>
      <c r="G952" s="183" t="n">
        <f aca="false">'🤖 Llama-3.1-70b-instruct'!H127</f>
        <v>0</v>
      </c>
      <c r="H952" s="183" t="n">
        <f aca="false">'🤖 Llama-3.1-70b-instruct'!I127</f>
        <v>0</v>
      </c>
      <c r="I952" s="183" t="n">
        <f aca="false">'🤖 Llama-3.1-70b-instruct'!J127</f>
        <v>0</v>
      </c>
    </row>
    <row r="953" customFormat="false" ht="15.75" hidden="false" customHeight="false" outlineLevel="0" collapsed="false">
      <c r="A953" s="128" t="n">
        <f aca="false">'🤖 Llama-3.1-70b-instruct'!$A$127</f>
        <v>0</v>
      </c>
      <c r="B953" s="9" t="s">
        <v>24</v>
      </c>
      <c r="C953" s="129" t="str">
        <f aca="false">'🤖 Llama-3.1-70b-instruct'!C128</f>
        <v>CoT</v>
      </c>
      <c r="D953" s="153" t="n">
        <f aca="false">'🤖 Llama-3.1-70b-instruct'!E128</f>
        <v>0.001901140684</v>
      </c>
      <c r="E953" s="183" t="n">
        <f aca="false">'🤖 Llama-3.1-70b-instruct'!F128</f>
        <v>0</v>
      </c>
      <c r="F953" s="183" t="n">
        <f aca="false">'🤖 Llama-3.1-70b-instruct'!G128</f>
        <v>0</v>
      </c>
      <c r="G953" s="183" t="n">
        <f aca="false">'🤖 Llama-3.1-70b-instruct'!H128</f>
        <v>0</v>
      </c>
      <c r="H953" s="183" t="n">
        <f aca="false">'🤖 Llama-3.1-70b-instruct'!I128</f>
        <v>0</v>
      </c>
      <c r="I953" s="183" t="n">
        <f aca="false">'🤖 Llama-3.1-70b-instruct'!J128</f>
        <v>0</v>
      </c>
    </row>
    <row r="954" customFormat="false" ht="15.75" hidden="false" customHeight="false" outlineLevel="0" collapsed="false">
      <c r="A954" s="128" t="n">
        <f aca="false">'🤖 Llama-3.1-70b-instruct'!$A$127</f>
        <v>0</v>
      </c>
      <c r="B954" s="9" t="s">
        <v>24</v>
      </c>
      <c r="C954" s="129" t="str">
        <f aca="false">'🤖 Llama-3.1-70b-instruct'!C129</f>
        <v>5W1H</v>
      </c>
      <c r="D954" s="153" t="n">
        <f aca="false">'🤖 Llama-3.1-70b-instruct'!E129</f>
        <v>0.001901140684</v>
      </c>
      <c r="E954" s="183" t="n">
        <f aca="false">'🤖 Llama-3.1-70b-instruct'!F129</f>
        <v>0</v>
      </c>
      <c r="F954" s="183" t="n">
        <f aca="false">'🤖 Llama-3.1-70b-instruct'!G129</f>
        <v>0</v>
      </c>
      <c r="G954" s="183" t="n">
        <f aca="false">'🤖 Llama-3.1-70b-instruct'!H129</f>
        <v>0</v>
      </c>
      <c r="H954" s="183" t="n">
        <f aca="false">'🤖 Llama-3.1-70b-instruct'!I129</f>
        <v>0</v>
      </c>
      <c r="I954" s="183" t="n">
        <f aca="false">'🤖 Llama-3.1-70b-instruct'!J129</f>
        <v>0</v>
      </c>
    </row>
    <row r="955" customFormat="false" ht="15.75" hidden="false" customHeight="false" outlineLevel="0" collapsed="false">
      <c r="A955" s="128" t="n">
        <f aca="false">'🤖 Llama-3.1-70b-instruct'!$A$127</f>
        <v>0</v>
      </c>
      <c r="B955" s="9" t="s">
        <v>24</v>
      </c>
      <c r="C955" s="129" t="str">
        <f aca="false">'🤖 Llama-3.1-70b-instruct'!C130</f>
        <v>tldr</v>
      </c>
      <c r="D955" s="153" t="n">
        <f aca="false">'🤖 Llama-3.1-70b-instruct'!E130</f>
        <v>0.001901140684</v>
      </c>
      <c r="E955" s="183" t="n">
        <f aca="false">'🤖 Llama-3.1-70b-instruct'!F130</f>
        <v>0</v>
      </c>
      <c r="F955" s="183" t="n">
        <f aca="false">'🤖 Llama-3.1-70b-instruct'!G130</f>
        <v>0</v>
      </c>
      <c r="G955" s="183" t="n">
        <f aca="false">'🤖 Llama-3.1-70b-instruct'!H130</f>
        <v>0</v>
      </c>
      <c r="H955" s="183" t="n">
        <f aca="false">'🤖 Llama-3.1-70b-instruct'!I130</f>
        <v>0</v>
      </c>
      <c r="I955" s="183" t="n">
        <f aca="false">'🤖 Llama-3.1-70b-instruct'!J130</f>
        <v>0</v>
      </c>
    </row>
    <row r="956" customFormat="false" ht="15.75" hidden="false" customHeight="false" outlineLevel="0" collapsed="false">
      <c r="A956" s="128"/>
      <c r="B956" s="9"/>
      <c r="C956" s="6"/>
      <c r="D956" s="153"/>
      <c r="E956" s="4"/>
      <c r="F956" s="4"/>
      <c r="G956" s="4"/>
      <c r="H956" s="4"/>
      <c r="I956" s="4"/>
    </row>
    <row r="957" customFormat="false" ht="15.75" hidden="false" customHeight="false" outlineLevel="0" collapsed="false">
      <c r="A957" s="128" t="n">
        <f aca="false">'🤖 Llama-3.1-70b-instruct'!$A$132</f>
        <v>0</v>
      </c>
      <c r="B957" s="9" t="s">
        <v>24</v>
      </c>
      <c r="C957" s="129" t="str">
        <f aca="false">'🤖 Llama-3.1-70b-instruct'!C132</f>
        <v>Base</v>
      </c>
      <c r="D957" s="153" t="n">
        <f aca="false">'🤖 Llama-3.1-70b-instruct'!E132</f>
        <v>0.001901140684</v>
      </c>
      <c r="E957" s="183" t="n">
        <f aca="false">'🤖 Llama-3.1-70b-instruct'!F132</f>
        <v>0</v>
      </c>
      <c r="F957" s="183" t="n">
        <f aca="false">'🤖 Llama-3.1-70b-instruct'!G132</f>
        <v>0</v>
      </c>
      <c r="G957" s="183" t="n">
        <f aca="false">'🤖 Llama-3.1-70b-instruct'!H132</f>
        <v>0</v>
      </c>
      <c r="H957" s="183" t="n">
        <f aca="false">'🤖 Llama-3.1-70b-instruct'!I132</f>
        <v>0</v>
      </c>
      <c r="I957" s="183" t="n">
        <f aca="false">'🤖 Llama-3.1-70b-instruct'!J132</f>
        <v>0</v>
      </c>
    </row>
    <row r="958" customFormat="false" ht="15.75" hidden="false" customHeight="false" outlineLevel="0" collapsed="false">
      <c r="A958" s="128" t="n">
        <f aca="false">'🤖 Llama-3.1-70b-instruct'!$A$132</f>
        <v>0</v>
      </c>
      <c r="B958" s="9" t="s">
        <v>24</v>
      </c>
      <c r="C958" s="129" t="str">
        <f aca="false">'🤖 Llama-3.1-70b-instruct'!C133</f>
        <v>CoT</v>
      </c>
      <c r="D958" s="153" t="n">
        <f aca="false">'🤖 Llama-3.1-70b-instruct'!E133</f>
        <v>0.001901140684</v>
      </c>
      <c r="E958" s="183" t="n">
        <f aca="false">'🤖 Llama-3.1-70b-instruct'!F133</f>
        <v>0</v>
      </c>
      <c r="F958" s="183" t="n">
        <f aca="false">'🤖 Llama-3.1-70b-instruct'!G133</f>
        <v>0</v>
      </c>
      <c r="G958" s="183" t="n">
        <f aca="false">'🤖 Llama-3.1-70b-instruct'!H133</f>
        <v>0</v>
      </c>
      <c r="H958" s="183" t="n">
        <f aca="false">'🤖 Llama-3.1-70b-instruct'!I133</f>
        <v>0</v>
      </c>
      <c r="I958" s="183" t="n">
        <f aca="false">'🤖 Llama-3.1-70b-instruct'!J133</f>
        <v>0</v>
      </c>
    </row>
    <row r="959" customFormat="false" ht="15.75" hidden="false" customHeight="false" outlineLevel="0" collapsed="false">
      <c r="A959" s="128" t="n">
        <f aca="false">'🤖 Llama-3.1-70b-instruct'!$A$132</f>
        <v>0</v>
      </c>
      <c r="B959" s="9" t="s">
        <v>24</v>
      </c>
      <c r="C959" s="129" t="str">
        <f aca="false">'🤖 Llama-3.1-70b-instruct'!C134</f>
        <v>5W1H</v>
      </c>
      <c r="D959" s="153" t="n">
        <f aca="false">'🤖 Llama-3.1-70b-instruct'!E134</f>
        <v>0.001901140684</v>
      </c>
      <c r="E959" s="183" t="n">
        <f aca="false">'🤖 Llama-3.1-70b-instruct'!F134</f>
        <v>0</v>
      </c>
      <c r="F959" s="183" t="n">
        <f aca="false">'🤖 Llama-3.1-70b-instruct'!G134</f>
        <v>0</v>
      </c>
      <c r="G959" s="183" t="n">
        <f aca="false">'🤖 Llama-3.1-70b-instruct'!H134</f>
        <v>0</v>
      </c>
      <c r="H959" s="183" t="n">
        <f aca="false">'🤖 Llama-3.1-70b-instruct'!I134</f>
        <v>0</v>
      </c>
      <c r="I959" s="183" t="n">
        <f aca="false">'🤖 Llama-3.1-70b-instruct'!J134</f>
        <v>0</v>
      </c>
    </row>
    <row r="960" customFormat="false" ht="15.75" hidden="false" customHeight="false" outlineLevel="0" collapsed="false">
      <c r="A960" s="128" t="n">
        <f aca="false">'🤖 Llama-3.1-70b-instruct'!$A$132</f>
        <v>0</v>
      </c>
      <c r="B960" s="9" t="s">
        <v>24</v>
      </c>
      <c r="C960" s="129" t="str">
        <f aca="false">'🤖 Llama-3.1-70b-instruct'!C135</f>
        <v>tldr</v>
      </c>
      <c r="D960" s="153" t="n">
        <f aca="false">'🤖 Llama-3.1-70b-instruct'!E135</f>
        <v>0.001901140684</v>
      </c>
      <c r="E960" s="183" t="n">
        <f aca="false">'🤖 Llama-3.1-70b-instruct'!F135</f>
        <v>0</v>
      </c>
      <c r="F960" s="183" t="n">
        <f aca="false">'🤖 Llama-3.1-70b-instruct'!G135</f>
        <v>0</v>
      </c>
      <c r="G960" s="183" t="n">
        <f aca="false">'🤖 Llama-3.1-70b-instruct'!H135</f>
        <v>0</v>
      </c>
      <c r="H960" s="183" t="n">
        <f aca="false">'🤖 Llama-3.1-70b-instruct'!I135</f>
        <v>0</v>
      </c>
      <c r="I960" s="183" t="n">
        <f aca="false">'🤖 Llama-3.1-70b-instruct'!J135</f>
        <v>0</v>
      </c>
    </row>
    <row r="961" customFormat="false" ht="15.75" hidden="false" customHeight="false" outlineLevel="0" collapsed="false">
      <c r="A961" s="128"/>
      <c r="B961" s="9"/>
      <c r="C961" s="6"/>
      <c r="D961" s="153"/>
      <c r="E961" s="4"/>
      <c r="F961" s="4"/>
      <c r="G961" s="4"/>
      <c r="H961" s="4"/>
      <c r="I961" s="4"/>
    </row>
    <row r="962" customFormat="false" ht="15.75" hidden="false" customHeight="false" outlineLevel="0" collapsed="false">
      <c r="A962" s="128" t="n">
        <f aca="false">'🤖 Llama-3.1-70b-instruct'!$A$137</f>
        <v>0</v>
      </c>
      <c r="B962" s="9" t="s">
        <v>24</v>
      </c>
      <c r="C962" s="129" t="str">
        <f aca="false">'🤖 Llama-3.1-70b-instruct'!C137</f>
        <v>Base</v>
      </c>
      <c r="D962" s="153" t="n">
        <f aca="false">'🤖 Llama-3.1-70b-instruct'!E137</f>
        <v>0.001901140684</v>
      </c>
      <c r="E962" s="183" t="n">
        <f aca="false">'🤖 Llama-3.1-70b-instruct'!F137</f>
        <v>0</v>
      </c>
      <c r="F962" s="183" t="n">
        <f aca="false">'🤖 Llama-3.1-70b-instruct'!G137</f>
        <v>0</v>
      </c>
      <c r="G962" s="183" t="n">
        <f aca="false">'🤖 Llama-3.1-70b-instruct'!H137</f>
        <v>0</v>
      </c>
      <c r="H962" s="183" t="n">
        <f aca="false">'🤖 Llama-3.1-70b-instruct'!I137</f>
        <v>0</v>
      </c>
      <c r="I962" s="183" t="n">
        <f aca="false">'🤖 Llama-3.1-70b-instruct'!J137</f>
        <v>0</v>
      </c>
    </row>
    <row r="963" customFormat="false" ht="15.75" hidden="false" customHeight="false" outlineLevel="0" collapsed="false">
      <c r="A963" s="128" t="n">
        <f aca="false">'🤖 Llama-3.1-70b-instruct'!$A$137</f>
        <v>0</v>
      </c>
      <c r="B963" s="9" t="s">
        <v>24</v>
      </c>
      <c r="C963" s="129" t="str">
        <f aca="false">'🤖 Llama-3.1-70b-instruct'!C138</f>
        <v>CoT</v>
      </c>
      <c r="D963" s="153" t="n">
        <f aca="false">'🤖 Llama-3.1-70b-instruct'!E138</f>
        <v>0.001901140684</v>
      </c>
      <c r="E963" s="183" t="n">
        <f aca="false">'🤖 Llama-3.1-70b-instruct'!F138</f>
        <v>0</v>
      </c>
      <c r="F963" s="183" t="n">
        <f aca="false">'🤖 Llama-3.1-70b-instruct'!G138</f>
        <v>0</v>
      </c>
      <c r="G963" s="183" t="n">
        <f aca="false">'🤖 Llama-3.1-70b-instruct'!H138</f>
        <v>0</v>
      </c>
      <c r="H963" s="183" t="n">
        <f aca="false">'🤖 Llama-3.1-70b-instruct'!I138</f>
        <v>0</v>
      </c>
      <c r="I963" s="183" t="n">
        <f aca="false">'🤖 Llama-3.1-70b-instruct'!J138</f>
        <v>0</v>
      </c>
    </row>
    <row r="964" customFormat="false" ht="15.75" hidden="false" customHeight="false" outlineLevel="0" collapsed="false">
      <c r="A964" s="128" t="n">
        <f aca="false">'🤖 Llama-3.1-70b-instruct'!$A$137</f>
        <v>0</v>
      </c>
      <c r="B964" s="9" t="s">
        <v>24</v>
      </c>
      <c r="C964" s="129" t="str">
        <f aca="false">'🤖 Llama-3.1-70b-instruct'!C139</f>
        <v>5W1H</v>
      </c>
      <c r="D964" s="153" t="n">
        <f aca="false">'🤖 Llama-3.1-70b-instruct'!E139</f>
        <v>0.001901140684</v>
      </c>
      <c r="E964" s="183" t="n">
        <f aca="false">'🤖 Llama-3.1-70b-instruct'!F139</f>
        <v>0</v>
      </c>
      <c r="F964" s="183" t="n">
        <f aca="false">'🤖 Llama-3.1-70b-instruct'!G139</f>
        <v>0</v>
      </c>
      <c r="G964" s="183" t="n">
        <f aca="false">'🤖 Llama-3.1-70b-instruct'!H139</f>
        <v>0</v>
      </c>
      <c r="H964" s="183" t="n">
        <f aca="false">'🤖 Llama-3.1-70b-instruct'!I139</f>
        <v>0</v>
      </c>
      <c r="I964" s="183" t="n">
        <f aca="false">'🤖 Llama-3.1-70b-instruct'!J139</f>
        <v>0</v>
      </c>
    </row>
    <row r="965" customFormat="false" ht="15.75" hidden="false" customHeight="false" outlineLevel="0" collapsed="false">
      <c r="A965" s="128" t="n">
        <f aca="false">'🤖 Llama-3.1-70b-instruct'!$A$137</f>
        <v>0</v>
      </c>
      <c r="B965" s="9" t="s">
        <v>24</v>
      </c>
      <c r="C965" s="129" t="str">
        <f aca="false">'🤖 Llama-3.1-70b-instruct'!C140</f>
        <v>tldr</v>
      </c>
      <c r="D965" s="153" t="n">
        <f aca="false">'🤖 Llama-3.1-70b-instruct'!E140</f>
        <v>0.001901140684</v>
      </c>
      <c r="E965" s="183" t="n">
        <f aca="false">'🤖 Llama-3.1-70b-instruct'!F140</f>
        <v>0</v>
      </c>
      <c r="F965" s="183" t="n">
        <f aca="false">'🤖 Llama-3.1-70b-instruct'!G140</f>
        <v>0</v>
      </c>
      <c r="G965" s="183" t="n">
        <f aca="false">'🤖 Llama-3.1-70b-instruct'!H140</f>
        <v>0</v>
      </c>
      <c r="H965" s="183" t="n">
        <f aca="false">'🤖 Llama-3.1-70b-instruct'!I140</f>
        <v>0</v>
      </c>
      <c r="I965" s="183" t="n">
        <f aca="false">'🤖 Llama-3.1-70b-instruct'!J140</f>
        <v>0</v>
      </c>
    </row>
    <row r="966" customFormat="false" ht="15.75" hidden="false" customHeight="false" outlineLevel="0" collapsed="false">
      <c r="A966" s="128"/>
      <c r="B966" s="9"/>
      <c r="C966" s="6"/>
      <c r="D966" s="153"/>
      <c r="E966" s="4"/>
      <c r="F966" s="4"/>
      <c r="G966" s="4"/>
      <c r="H966" s="4"/>
      <c r="I966" s="4"/>
    </row>
    <row r="967" customFormat="false" ht="15.75" hidden="false" customHeight="false" outlineLevel="0" collapsed="false">
      <c r="A967" s="128" t="n">
        <f aca="false">'🤖 Llama-3.1-70b-instruct'!$A$142</f>
        <v>0</v>
      </c>
      <c r="B967" s="9" t="s">
        <v>24</v>
      </c>
      <c r="C967" s="129" t="str">
        <f aca="false">'🤖 Llama-3.1-70b-instruct'!C142</f>
        <v>Base</v>
      </c>
      <c r="D967" s="153" t="n">
        <f aca="false">'🤖 Llama-3.1-70b-instruct'!E142</f>
        <v>0.001901140684</v>
      </c>
      <c r="E967" s="183" t="n">
        <f aca="false">'🤖 Llama-3.1-70b-instruct'!F142</f>
        <v>0</v>
      </c>
      <c r="F967" s="183" t="n">
        <f aca="false">'🤖 Llama-3.1-70b-instruct'!G142</f>
        <v>0</v>
      </c>
      <c r="G967" s="183" t="n">
        <f aca="false">'🤖 Llama-3.1-70b-instruct'!H142</f>
        <v>0</v>
      </c>
      <c r="H967" s="183" t="n">
        <f aca="false">'🤖 Llama-3.1-70b-instruct'!I142</f>
        <v>0</v>
      </c>
      <c r="I967" s="183" t="n">
        <f aca="false">'🤖 Llama-3.1-70b-instruct'!J142</f>
        <v>0</v>
      </c>
    </row>
    <row r="968" customFormat="false" ht="15.75" hidden="false" customHeight="false" outlineLevel="0" collapsed="false">
      <c r="A968" s="128" t="n">
        <f aca="false">'🤖 Llama-3.1-70b-instruct'!$A$142</f>
        <v>0</v>
      </c>
      <c r="B968" s="9" t="s">
        <v>24</v>
      </c>
      <c r="C968" s="129" t="str">
        <f aca="false">'🤖 Llama-3.1-70b-instruct'!C143</f>
        <v>CoT</v>
      </c>
      <c r="D968" s="153" t="n">
        <f aca="false">'🤖 Llama-3.1-70b-instruct'!E143</f>
        <v>0.001901140684</v>
      </c>
      <c r="E968" s="183" t="n">
        <f aca="false">'🤖 Llama-3.1-70b-instruct'!F143</f>
        <v>0</v>
      </c>
      <c r="F968" s="183" t="n">
        <f aca="false">'🤖 Llama-3.1-70b-instruct'!G143</f>
        <v>0</v>
      </c>
      <c r="G968" s="183" t="n">
        <f aca="false">'🤖 Llama-3.1-70b-instruct'!H143</f>
        <v>0</v>
      </c>
      <c r="H968" s="183" t="n">
        <f aca="false">'🤖 Llama-3.1-70b-instruct'!I143</f>
        <v>0</v>
      </c>
      <c r="I968" s="183" t="n">
        <f aca="false">'🤖 Llama-3.1-70b-instruct'!J143</f>
        <v>0</v>
      </c>
    </row>
    <row r="969" customFormat="false" ht="15.75" hidden="false" customHeight="false" outlineLevel="0" collapsed="false">
      <c r="A969" s="128" t="n">
        <f aca="false">'🤖 Llama-3.1-70b-instruct'!$A$142</f>
        <v>0</v>
      </c>
      <c r="B969" s="9" t="s">
        <v>24</v>
      </c>
      <c r="C969" s="129" t="str">
        <f aca="false">'🤖 Llama-3.1-70b-instruct'!C144</f>
        <v>5W1H</v>
      </c>
      <c r="D969" s="153" t="n">
        <f aca="false">'🤖 Llama-3.1-70b-instruct'!E144</f>
        <v>0.001901140684</v>
      </c>
      <c r="E969" s="183" t="n">
        <f aca="false">'🤖 Llama-3.1-70b-instruct'!F144</f>
        <v>0</v>
      </c>
      <c r="F969" s="183" t="n">
        <f aca="false">'🤖 Llama-3.1-70b-instruct'!G144</f>
        <v>0</v>
      </c>
      <c r="G969" s="183" t="n">
        <f aca="false">'🤖 Llama-3.1-70b-instruct'!H144</f>
        <v>0</v>
      </c>
      <c r="H969" s="183" t="n">
        <f aca="false">'🤖 Llama-3.1-70b-instruct'!I144</f>
        <v>0</v>
      </c>
      <c r="I969" s="183" t="n">
        <f aca="false">'🤖 Llama-3.1-70b-instruct'!J144</f>
        <v>0</v>
      </c>
    </row>
    <row r="970" customFormat="false" ht="15.75" hidden="false" customHeight="false" outlineLevel="0" collapsed="false">
      <c r="A970" s="128" t="n">
        <f aca="false">'🤖 Llama-3.1-70b-instruct'!$A$142</f>
        <v>0</v>
      </c>
      <c r="B970" s="9" t="s">
        <v>24</v>
      </c>
      <c r="C970" s="129" t="str">
        <f aca="false">'🤖 Llama-3.1-70b-instruct'!C145</f>
        <v>tldr</v>
      </c>
      <c r="D970" s="153" t="n">
        <f aca="false">'🤖 Llama-3.1-70b-instruct'!E145</f>
        <v>0.001901140684</v>
      </c>
      <c r="E970" s="183" t="n">
        <f aca="false">'🤖 Llama-3.1-70b-instruct'!F145</f>
        <v>0</v>
      </c>
      <c r="F970" s="183" t="n">
        <f aca="false">'🤖 Llama-3.1-70b-instruct'!G145</f>
        <v>0</v>
      </c>
      <c r="G970" s="183" t="n">
        <f aca="false">'🤖 Llama-3.1-70b-instruct'!H145</f>
        <v>0</v>
      </c>
      <c r="H970" s="183" t="n">
        <f aca="false">'🤖 Llama-3.1-70b-instruct'!I145</f>
        <v>0</v>
      </c>
      <c r="I970" s="183" t="n">
        <f aca="false">'🤖 Llama-3.1-70b-instruct'!J145</f>
        <v>0</v>
      </c>
    </row>
    <row r="971" customFormat="false" ht="15.75" hidden="false" customHeight="false" outlineLevel="0" collapsed="false">
      <c r="A971" s="128"/>
      <c r="B971" s="9"/>
      <c r="C971" s="6"/>
      <c r="D971" s="153"/>
      <c r="E971" s="4"/>
      <c r="F971" s="4"/>
      <c r="G971" s="4"/>
      <c r="H971" s="4"/>
      <c r="I971" s="4"/>
    </row>
    <row r="972" customFormat="false" ht="15.75" hidden="false" customHeight="false" outlineLevel="0" collapsed="false">
      <c r="A972" s="128" t="n">
        <f aca="false">'🤖 Llama-3.1-70b-instruct'!$A$147</f>
        <v>0</v>
      </c>
      <c r="B972" s="9" t="s">
        <v>24</v>
      </c>
      <c r="C972" s="129" t="str">
        <f aca="false">'🤖 Llama-3.1-70b-instruct'!C147</f>
        <v>Base</v>
      </c>
      <c r="D972" s="153" t="n">
        <f aca="false">'🤖 Llama-3.1-70b-instruct'!E147</f>
        <v>0.001901140684</v>
      </c>
      <c r="E972" s="183" t="n">
        <f aca="false">'🤖 Llama-3.1-70b-instruct'!F147</f>
        <v>0</v>
      </c>
      <c r="F972" s="183" t="n">
        <f aca="false">'🤖 Llama-3.1-70b-instruct'!G147</f>
        <v>0</v>
      </c>
      <c r="G972" s="183" t="n">
        <f aca="false">'🤖 Llama-3.1-70b-instruct'!H147</f>
        <v>0</v>
      </c>
      <c r="H972" s="183" t="n">
        <f aca="false">'🤖 Llama-3.1-70b-instruct'!I147</f>
        <v>0</v>
      </c>
      <c r="I972" s="183" t="n">
        <f aca="false">'🤖 Llama-3.1-70b-instruct'!J147</f>
        <v>0</v>
      </c>
    </row>
    <row r="973" customFormat="false" ht="15.75" hidden="false" customHeight="false" outlineLevel="0" collapsed="false">
      <c r="A973" s="128" t="n">
        <f aca="false">'🤖 Llama-3.1-70b-instruct'!$A$147</f>
        <v>0</v>
      </c>
      <c r="B973" s="9" t="s">
        <v>24</v>
      </c>
      <c r="C973" s="129" t="str">
        <f aca="false">'🤖 Llama-3.1-70b-instruct'!C148</f>
        <v>CoT</v>
      </c>
      <c r="D973" s="153" t="n">
        <f aca="false">'🤖 Llama-3.1-70b-instruct'!E148</f>
        <v>0.001901140684</v>
      </c>
      <c r="E973" s="183" t="n">
        <f aca="false">'🤖 Llama-3.1-70b-instruct'!F148</f>
        <v>0</v>
      </c>
      <c r="F973" s="183" t="n">
        <f aca="false">'🤖 Llama-3.1-70b-instruct'!G148</f>
        <v>0</v>
      </c>
      <c r="G973" s="183" t="n">
        <f aca="false">'🤖 Llama-3.1-70b-instruct'!H148</f>
        <v>0</v>
      </c>
      <c r="H973" s="183" t="n">
        <f aca="false">'🤖 Llama-3.1-70b-instruct'!I148</f>
        <v>0</v>
      </c>
      <c r="I973" s="183" t="n">
        <f aca="false">'🤖 Llama-3.1-70b-instruct'!J148</f>
        <v>0</v>
      </c>
    </row>
    <row r="974" customFormat="false" ht="15.75" hidden="false" customHeight="false" outlineLevel="0" collapsed="false">
      <c r="A974" s="128" t="n">
        <f aca="false">'🤖 Llama-3.1-70b-instruct'!$A$147</f>
        <v>0</v>
      </c>
      <c r="B974" s="9" t="s">
        <v>24</v>
      </c>
      <c r="C974" s="129" t="str">
        <f aca="false">'🤖 Llama-3.1-70b-instruct'!C149</f>
        <v>5W1H</v>
      </c>
      <c r="D974" s="153" t="n">
        <f aca="false">'🤖 Llama-3.1-70b-instruct'!E149</f>
        <v>0.001901140684</v>
      </c>
      <c r="E974" s="183" t="n">
        <f aca="false">'🤖 Llama-3.1-70b-instruct'!F149</f>
        <v>0</v>
      </c>
      <c r="F974" s="183" t="n">
        <f aca="false">'🤖 Llama-3.1-70b-instruct'!G149</f>
        <v>0</v>
      </c>
      <c r="G974" s="183" t="n">
        <f aca="false">'🤖 Llama-3.1-70b-instruct'!H149</f>
        <v>0</v>
      </c>
      <c r="H974" s="183" t="n">
        <f aca="false">'🤖 Llama-3.1-70b-instruct'!I149</f>
        <v>0</v>
      </c>
      <c r="I974" s="183" t="n">
        <f aca="false">'🤖 Llama-3.1-70b-instruct'!J149</f>
        <v>0</v>
      </c>
    </row>
    <row r="975" customFormat="false" ht="15.75" hidden="false" customHeight="false" outlineLevel="0" collapsed="false">
      <c r="A975" s="128" t="n">
        <f aca="false">'🤖 Llama-3.1-70b-instruct'!$A$147</f>
        <v>0</v>
      </c>
      <c r="B975" s="9" t="s">
        <v>24</v>
      </c>
      <c r="C975" s="129" t="str">
        <f aca="false">'🤖 Llama-3.1-70b-instruct'!C150</f>
        <v>tldr</v>
      </c>
      <c r="D975" s="153" t="n">
        <f aca="false">'🤖 Llama-3.1-70b-instruct'!E150</f>
        <v>0.001901140684</v>
      </c>
      <c r="E975" s="183" t="n">
        <f aca="false">'🤖 Llama-3.1-70b-instruct'!F150</f>
        <v>0</v>
      </c>
      <c r="F975" s="183" t="n">
        <f aca="false">'🤖 Llama-3.1-70b-instruct'!G150</f>
        <v>0</v>
      </c>
      <c r="G975" s="183" t="n">
        <f aca="false">'🤖 Llama-3.1-70b-instruct'!H150</f>
        <v>0</v>
      </c>
      <c r="H975" s="183" t="n">
        <f aca="false">'🤖 Llama-3.1-70b-instruct'!I150</f>
        <v>0</v>
      </c>
      <c r="I975" s="183" t="n">
        <f aca="false">'🤖 Llama-3.1-70b-instruct'!J150</f>
        <v>0</v>
      </c>
    </row>
    <row r="976" customFormat="false" ht="15.75" hidden="false" customHeight="false" outlineLevel="0" collapsed="false">
      <c r="A976" s="128"/>
      <c r="B976" s="9"/>
      <c r="C976" s="6"/>
      <c r="D976" s="153"/>
      <c r="E976" s="4"/>
      <c r="F976" s="4"/>
      <c r="G976" s="4"/>
      <c r="H976" s="4"/>
      <c r="I976" s="4"/>
    </row>
    <row r="977" customFormat="false" ht="15.75" hidden="false" customHeight="false" outlineLevel="0" collapsed="false">
      <c r="A977" s="128" t="n">
        <f aca="false">'🤖 Llama-3.1-70b-instruct'!$A$152</f>
        <v>0</v>
      </c>
      <c r="B977" s="9" t="s">
        <v>24</v>
      </c>
      <c r="C977" s="129" t="str">
        <f aca="false">'🤖 Llama-3.1-70b-instruct'!C152</f>
        <v>Base</v>
      </c>
      <c r="D977" s="153" t="n">
        <f aca="false">'🤖 Llama-3.1-70b-instruct'!E152</f>
        <v>0.001901140684</v>
      </c>
      <c r="E977" s="183" t="n">
        <f aca="false">'🤖 Llama-3.1-70b-instruct'!F152</f>
        <v>0</v>
      </c>
      <c r="F977" s="183" t="n">
        <f aca="false">'🤖 Llama-3.1-70b-instruct'!G152</f>
        <v>0</v>
      </c>
      <c r="G977" s="183" t="n">
        <f aca="false">'🤖 Llama-3.1-70b-instruct'!H152</f>
        <v>0</v>
      </c>
      <c r="H977" s="183" t="n">
        <f aca="false">'🤖 Llama-3.1-70b-instruct'!I152</f>
        <v>0</v>
      </c>
      <c r="I977" s="183" t="n">
        <f aca="false">'🤖 Llama-3.1-70b-instruct'!J152</f>
        <v>0</v>
      </c>
    </row>
    <row r="978" customFormat="false" ht="15.75" hidden="false" customHeight="false" outlineLevel="0" collapsed="false">
      <c r="A978" s="128" t="n">
        <f aca="false">'🤖 Llama-3.1-70b-instruct'!$A$152</f>
        <v>0</v>
      </c>
      <c r="B978" s="9" t="s">
        <v>24</v>
      </c>
      <c r="C978" s="129" t="str">
        <f aca="false">'🤖 Llama-3.1-70b-instruct'!C153</f>
        <v>CoT</v>
      </c>
      <c r="D978" s="153" t="n">
        <f aca="false">'🤖 Llama-3.1-70b-instruct'!E153</f>
        <v>0.001901140684</v>
      </c>
      <c r="E978" s="183" t="n">
        <f aca="false">'🤖 Llama-3.1-70b-instruct'!F153</f>
        <v>0</v>
      </c>
      <c r="F978" s="183" t="n">
        <f aca="false">'🤖 Llama-3.1-70b-instruct'!G153</f>
        <v>0</v>
      </c>
      <c r="G978" s="183" t="n">
        <f aca="false">'🤖 Llama-3.1-70b-instruct'!H153</f>
        <v>0</v>
      </c>
      <c r="H978" s="183" t="n">
        <f aca="false">'🤖 Llama-3.1-70b-instruct'!I153</f>
        <v>0</v>
      </c>
      <c r="I978" s="183" t="n">
        <f aca="false">'🤖 Llama-3.1-70b-instruct'!J153</f>
        <v>0</v>
      </c>
    </row>
    <row r="979" customFormat="false" ht="15.75" hidden="false" customHeight="false" outlineLevel="0" collapsed="false">
      <c r="A979" s="128" t="n">
        <f aca="false">'🤖 Llama-3.1-70b-instruct'!$A$152</f>
        <v>0</v>
      </c>
      <c r="B979" s="9" t="s">
        <v>24</v>
      </c>
      <c r="C979" s="129" t="str">
        <f aca="false">'🤖 Llama-3.1-70b-instruct'!C154</f>
        <v>5W1H</v>
      </c>
      <c r="D979" s="153" t="n">
        <f aca="false">'🤖 Llama-3.1-70b-instruct'!E154</f>
        <v>0.001901140684</v>
      </c>
      <c r="E979" s="183" t="n">
        <f aca="false">'🤖 Llama-3.1-70b-instruct'!F154</f>
        <v>0</v>
      </c>
      <c r="F979" s="183" t="n">
        <f aca="false">'🤖 Llama-3.1-70b-instruct'!G154</f>
        <v>0</v>
      </c>
      <c r="G979" s="183" t="n">
        <f aca="false">'🤖 Llama-3.1-70b-instruct'!H154</f>
        <v>0</v>
      </c>
      <c r="H979" s="183" t="n">
        <f aca="false">'🤖 Llama-3.1-70b-instruct'!I154</f>
        <v>0</v>
      </c>
      <c r="I979" s="183" t="n">
        <f aca="false">'🤖 Llama-3.1-70b-instruct'!J154</f>
        <v>0</v>
      </c>
    </row>
    <row r="980" customFormat="false" ht="15.75" hidden="false" customHeight="false" outlineLevel="0" collapsed="false">
      <c r="A980" s="128" t="n">
        <f aca="false">'🤖 Llama-3.1-70b-instruct'!$A$152</f>
        <v>0</v>
      </c>
      <c r="B980" s="9" t="s">
        <v>24</v>
      </c>
      <c r="C980" s="129" t="str">
        <f aca="false">'🤖 Llama-3.1-70b-instruct'!C155</f>
        <v>tldr</v>
      </c>
      <c r="D980" s="153" t="n">
        <f aca="false">'🤖 Llama-3.1-70b-instruct'!E155</f>
        <v>0.001901140684</v>
      </c>
      <c r="E980" s="183" t="n">
        <f aca="false">'🤖 Llama-3.1-70b-instruct'!F155</f>
        <v>0</v>
      </c>
      <c r="F980" s="183" t="n">
        <f aca="false">'🤖 Llama-3.1-70b-instruct'!G155</f>
        <v>0</v>
      </c>
      <c r="G980" s="183" t="n">
        <f aca="false">'🤖 Llama-3.1-70b-instruct'!H155</f>
        <v>0</v>
      </c>
      <c r="H980" s="183" t="n">
        <f aca="false">'🤖 Llama-3.1-70b-instruct'!I155</f>
        <v>0</v>
      </c>
      <c r="I980" s="183" t="n">
        <f aca="false">'🤖 Llama-3.1-70b-instruct'!J155</f>
        <v>0</v>
      </c>
    </row>
    <row r="981" customFormat="false" ht="15.75" hidden="false" customHeight="false" outlineLevel="0" collapsed="false">
      <c r="A981" s="128"/>
      <c r="B981" s="9"/>
      <c r="C981" s="6"/>
      <c r="D981" s="153"/>
      <c r="E981" s="4"/>
      <c r="F981" s="4"/>
      <c r="G981" s="4"/>
      <c r="H981" s="4"/>
      <c r="I981" s="4"/>
    </row>
    <row r="982" customFormat="false" ht="15.75" hidden="false" customHeight="false" outlineLevel="0" collapsed="false">
      <c r="A982" s="128" t="n">
        <f aca="false">'🤖 Llama-3.1-70b-instruct'!$A$157</f>
        <v>0</v>
      </c>
      <c r="B982" s="9" t="s">
        <v>24</v>
      </c>
      <c r="C982" s="129" t="str">
        <f aca="false">'🤖 Llama-3.1-70b-instruct'!C157</f>
        <v>Base</v>
      </c>
      <c r="D982" s="153" t="n">
        <f aca="false">'🤖 Llama-3.1-70b-instruct'!E157</f>
        <v>0.001901140684</v>
      </c>
      <c r="E982" s="183" t="n">
        <f aca="false">'🤖 Llama-3.1-70b-instruct'!F157</f>
        <v>0</v>
      </c>
      <c r="F982" s="183" t="n">
        <f aca="false">'🤖 Llama-3.1-70b-instruct'!G157</f>
        <v>0</v>
      </c>
      <c r="G982" s="183" t="n">
        <f aca="false">'🤖 Llama-3.1-70b-instruct'!H157</f>
        <v>0</v>
      </c>
      <c r="H982" s="183" t="n">
        <f aca="false">'🤖 Llama-3.1-70b-instruct'!I157</f>
        <v>0</v>
      </c>
      <c r="I982" s="183" t="n">
        <f aca="false">'🤖 Llama-3.1-70b-instruct'!J157</f>
        <v>0</v>
      </c>
    </row>
    <row r="983" customFormat="false" ht="15.75" hidden="false" customHeight="false" outlineLevel="0" collapsed="false">
      <c r="A983" s="128" t="n">
        <f aca="false">'🤖 Llama-3.1-70b-instruct'!$A$157</f>
        <v>0</v>
      </c>
      <c r="B983" s="9" t="s">
        <v>24</v>
      </c>
      <c r="C983" s="129" t="str">
        <f aca="false">'🤖 Llama-3.1-70b-instruct'!C158</f>
        <v>CoT</v>
      </c>
      <c r="D983" s="153" t="n">
        <f aca="false">'🤖 Llama-3.1-70b-instruct'!E158</f>
        <v>0.001901140684</v>
      </c>
      <c r="E983" s="183" t="n">
        <f aca="false">'🤖 Llama-3.1-70b-instruct'!F158</f>
        <v>0</v>
      </c>
      <c r="F983" s="183" t="n">
        <f aca="false">'🤖 Llama-3.1-70b-instruct'!G158</f>
        <v>0</v>
      </c>
      <c r="G983" s="183" t="n">
        <f aca="false">'🤖 Llama-3.1-70b-instruct'!H158</f>
        <v>0</v>
      </c>
      <c r="H983" s="183" t="n">
        <f aca="false">'🤖 Llama-3.1-70b-instruct'!I158</f>
        <v>0</v>
      </c>
      <c r="I983" s="183" t="n">
        <f aca="false">'🤖 Llama-3.1-70b-instruct'!J158</f>
        <v>0</v>
      </c>
    </row>
    <row r="984" customFormat="false" ht="15.75" hidden="false" customHeight="false" outlineLevel="0" collapsed="false">
      <c r="A984" s="128" t="n">
        <f aca="false">'🤖 Llama-3.1-70b-instruct'!$A$157</f>
        <v>0</v>
      </c>
      <c r="B984" s="9" t="s">
        <v>24</v>
      </c>
      <c r="C984" s="129" t="str">
        <f aca="false">'🤖 Llama-3.1-70b-instruct'!C159</f>
        <v>5W1H</v>
      </c>
      <c r="D984" s="153" t="n">
        <f aca="false">'🤖 Llama-3.1-70b-instruct'!E159</f>
        <v>0.001901140684</v>
      </c>
      <c r="E984" s="183" t="n">
        <f aca="false">'🤖 Llama-3.1-70b-instruct'!F159</f>
        <v>0</v>
      </c>
      <c r="F984" s="183" t="n">
        <f aca="false">'🤖 Llama-3.1-70b-instruct'!G159</f>
        <v>0</v>
      </c>
      <c r="G984" s="183" t="n">
        <f aca="false">'🤖 Llama-3.1-70b-instruct'!H159</f>
        <v>0</v>
      </c>
      <c r="H984" s="183" t="n">
        <f aca="false">'🤖 Llama-3.1-70b-instruct'!I159</f>
        <v>0</v>
      </c>
      <c r="I984" s="183" t="n">
        <f aca="false">'🤖 Llama-3.1-70b-instruct'!J159</f>
        <v>0</v>
      </c>
    </row>
    <row r="985" customFormat="false" ht="15.75" hidden="false" customHeight="false" outlineLevel="0" collapsed="false">
      <c r="A985" s="128" t="n">
        <f aca="false">'🤖 Llama-3.1-70b-instruct'!$A$157</f>
        <v>0</v>
      </c>
      <c r="B985" s="9" t="s">
        <v>24</v>
      </c>
      <c r="C985" s="129" t="str">
        <f aca="false">'🤖 Llama-3.1-70b-instruct'!C160</f>
        <v>tldr</v>
      </c>
      <c r="D985" s="153" t="n">
        <f aca="false">'🤖 Llama-3.1-70b-instruct'!E160</f>
        <v>0.001901140684</v>
      </c>
      <c r="E985" s="183" t="n">
        <f aca="false">'🤖 Llama-3.1-70b-instruct'!F160</f>
        <v>0</v>
      </c>
      <c r="F985" s="183" t="n">
        <f aca="false">'🤖 Llama-3.1-70b-instruct'!G160</f>
        <v>0</v>
      </c>
      <c r="G985" s="183" t="n">
        <f aca="false">'🤖 Llama-3.1-70b-instruct'!H160</f>
        <v>0</v>
      </c>
      <c r="H985" s="183" t="n">
        <f aca="false">'🤖 Llama-3.1-70b-instruct'!I160</f>
        <v>0</v>
      </c>
      <c r="I985" s="183" t="n">
        <f aca="false">'🤖 Llama-3.1-70b-instruct'!J160</f>
        <v>0</v>
      </c>
    </row>
    <row r="986" customFormat="false" ht="15.75" hidden="false" customHeight="false" outlineLevel="0" collapsed="false">
      <c r="A986" s="128"/>
      <c r="B986" s="9"/>
      <c r="C986" s="6"/>
      <c r="D986" s="153"/>
      <c r="E986" s="4"/>
      <c r="F986" s="4"/>
      <c r="G986" s="4"/>
      <c r="H986" s="4"/>
      <c r="I986" s="4"/>
    </row>
    <row r="987" customFormat="false" ht="15.75" hidden="false" customHeight="false" outlineLevel="0" collapsed="false">
      <c r="A987" s="128" t="n">
        <f aca="false">'🤖 Llama-3.1-70b-instruct'!$A$162</f>
        <v>0</v>
      </c>
      <c r="B987" s="9" t="s">
        <v>24</v>
      </c>
      <c r="C987" s="129" t="str">
        <f aca="false">'🤖 Llama-3.1-70b-instruct'!C162</f>
        <v>Base</v>
      </c>
      <c r="D987" s="153" t="n">
        <f aca="false">'🤖 Llama-3.1-70b-instruct'!E162</f>
        <v>0.001901140684</v>
      </c>
      <c r="E987" s="183" t="n">
        <f aca="false">'🤖 Llama-3.1-70b-instruct'!F162</f>
        <v>0</v>
      </c>
      <c r="F987" s="183" t="n">
        <f aca="false">'🤖 Llama-3.1-70b-instruct'!G162</f>
        <v>0</v>
      </c>
      <c r="G987" s="183" t="n">
        <f aca="false">'🤖 Llama-3.1-70b-instruct'!H162</f>
        <v>0</v>
      </c>
      <c r="H987" s="183" t="n">
        <f aca="false">'🤖 Llama-3.1-70b-instruct'!I162</f>
        <v>0</v>
      </c>
      <c r="I987" s="183" t="n">
        <f aca="false">'🤖 Llama-3.1-70b-instruct'!J162</f>
        <v>0</v>
      </c>
    </row>
    <row r="988" customFormat="false" ht="15.75" hidden="false" customHeight="false" outlineLevel="0" collapsed="false">
      <c r="A988" s="128" t="n">
        <f aca="false">'🤖 Llama-3.1-70b-instruct'!$A$162</f>
        <v>0</v>
      </c>
      <c r="B988" s="9" t="s">
        <v>24</v>
      </c>
      <c r="C988" s="129" t="str">
        <f aca="false">'🤖 Llama-3.1-70b-instruct'!C163</f>
        <v>CoT</v>
      </c>
      <c r="D988" s="153" t="n">
        <f aca="false">'🤖 Llama-3.1-70b-instruct'!E163</f>
        <v>0.001901140684</v>
      </c>
      <c r="E988" s="183" t="n">
        <f aca="false">'🤖 Llama-3.1-70b-instruct'!F163</f>
        <v>0</v>
      </c>
      <c r="F988" s="183" t="n">
        <f aca="false">'🤖 Llama-3.1-70b-instruct'!G163</f>
        <v>0</v>
      </c>
      <c r="G988" s="183" t="n">
        <f aca="false">'🤖 Llama-3.1-70b-instruct'!H163</f>
        <v>0</v>
      </c>
      <c r="H988" s="183" t="n">
        <f aca="false">'🤖 Llama-3.1-70b-instruct'!I163</f>
        <v>0</v>
      </c>
      <c r="I988" s="183" t="n">
        <f aca="false">'🤖 Llama-3.1-70b-instruct'!J163</f>
        <v>0</v>
      </c>
    </row>
    <row r="989" customFormat="false" ht="15.75" hidden="false" customHeight="false" outlineLevel="0" collapsed="false">
      <c r="A989" s="128" t="n">
        <f aca="false">'🤖 Llama-3.1-70b-instruct'!$A$162</f>
        <v>0</v>
      </c>
      <c r="B989" s="9" t="s">
        <v>24</v>
      </c>
      <c r="C989" s="129" t="str">
        <f aca="false">'🤖 Llama-3.1-70b-instruct'!C164</f>
        <v>5W1H</v>
      </c>
      <c r="D989" s="153" t="n">
        <f aca="false">'🤖 Llama-3.1-70b-instruct'!E164</f>
        <v>0.001901140684</v>
      </c>
      <c r="E989" s="183" t="n">
        <f aca="false">'🤖 Llama-3.1-70b-instruct'!F164</f>
        <v>0</v>
      </c>
      <c r="F989" s="183" t="n">
        <f aca="false">'🤖 Llama-3.1-70b-instruct'!G164</f>
        <v>0</v>
      </c>
      <c r="G989" s="183" t="n">
        <f aca="false">'🤖 Llama-3.1-70b-instruct'!H164</f>
        <v>0</v>
      </c>
      <c r="H989" s="183" t="n">
        <f aca="false">'🤖 Llama-3.1-70b-instruct'!I164</f>
        <v>0</v>
      </c>
      <c r="I989" s="183" t="n">
        <f aca="false">'🤖 Llama-3.1-70b-instruct'!J164</f>
        <v>0</v>
      </c>
    </row>
    <row r="990" customFormat="false" ht="15.75" hidden="false" customHeight="false" outlineLevel="0" collapsed="false">
      <c r="A990" s="128" t="n">
        <f aca="false">'🤖 Llama-3.1-70b-instruct'!$A$162</f>
        <v>0</v>
      </c>
      <c r="B990" s="9" t="s">
        <v>24</v>
      </c>
      <c r="C990" s="129" t="str">
        <f aca="false">'🤖 Llama-3.1-70b-instruct'!C165</f>
        <v>tldr</v>
      </c>
      <c r="D990" s="153" t="n">
        <f aca="false">'🤖 Llama-3.1-70b-instruct'!E165</f>
        <v>0.001901140684</v>
      </c>
      <c r="E990" s="183" t="n">
        <f aca="false">'🤖 Llama-3.1-70b-instruct'!F165</f>
        <v>0</v>
      </c>
      <c r="F990" s="183" t="n">
        <f aca="false">'🤖 Llama-3.1-70b-instruct'!G165</f>
        <v>0</v>
      </c>
      <c r="G990" s="183" t="n">
        <f aca="false">'🤖 Llama-3.1-70b-instruct'!H165</f>
        <v>0</v>
      </c>
      <c r="H990" s="183" t="n">
        <f aca="false">'🤖 Llama-3.1-70b-instruct'!I165</f>
        <v>0</v>
      </c>
      <c r="I990" s="183" t="n">
        <f aca="false">'🤖 Llama-3.1-70b-instruct'!J165</f>
        <v>0</v>
      </c>
    </row>
    <row r="991" customFormat="false" ht="15.75" hidden="false" customHeight="false" outlineLevel="0" collapsed="false">
      <c r="A991" s="9"/>
      <c r="B991" s="9"/>
      <c r="C991" s="9"/>
      <c r="D991" s="9"/>
      <c r="E991" s="9"/>
      <c r="F991" s="9"/>
      <c r="G991" s="9"/>
      <c r="H991" s="9"/>
      <c r="I991" s="9"/>
    </row>
    <row r="992" customFormat="false" ht="15.75" hidden="false" customHeight="false" outlineLevel="0" collapsed="false">
      <c r="A992" s="9"/>
      <c r="B992" s="9"/>
      <c r="C992" s="9"/>
      <c r="D992" s="9"/>
      <c r="E992" s="9"/>
      <c r="F992" s="9"/>
      <c r="G992" s="9"/>
      <c r="H992" s="9"/>
      <c r="I992" s="9"/>
    </row>
    <row r="993" customFormat="false" ht="15.75" hidden="false" customHeight="false" outlineLevel="0" collapsed="false">
      <c r="A993" s="9"/>
      <c r="B993" s="9"/>
      <c r="C993" s="9"/>
      <c r="D993" s="9"/>
      <c r="E993" s="9"/>
      <c r="F993" s="9"/>
      <c r="G993" s="9"/>
      <c r="H993" s="9"/>
      <c r="I993" s="9"/>
    </row>
    <row r="994" customFormat="false" ht="15.75" hidden="false" customHeight="false" outlineLevel="0" collapsed="false">
      <c r="A994" s="9"/>
      <c r="B994" s="9"/>
      <c r="C994" s="9"/>
      <c r="D994" s="9"/>
      <c r="E994" s="9"/>
      <c r="F994" s="9"/>
      <c r="G994" s="9"/>
      <c r="H994" s="9"/>
      <c r="I994" s="9"/>
    </row>
    <row r="995" customFormat="false" ht="15.75" hidden="false" customHeight="false" outlineLevel="0" collapsed="false">
      <c r="A995" s="9"/>
      <c r="B995" s="9"/>
      <c r="C995" s="9"/>
      <c r="D995" s="9"/>
      <c r="E995" s="9"/>
      <c r="F995" s="9"/>
      <c r="G995" s="9"/>
      <c r="H995" s="9"/>
      <c r="I995" s="9"/>
    </row>
    <row r="996" customFormat="false" ht="15.75" hidden="false" customHeight="false" outlineLevel="0" collapsed="false">
      <c r="A996" s="9"/>
      <c r="B996" s="9"/>
      <c r="C996" s="9"/>
      <c r="D996" s="9"/>
      <c r="E996" s="9"/>
      <c r="F996" s="9"/>
      <c r="G996" s="9"/>
      <c r="H996" s="9"/>
      <c r="I996" s="9"/>
    </row>
    <row r="997" customFormat="false" ht="15.75" hidden="false" customHeight="false" outlineLevel="0" collapsed="false">
      <c r="A997" s="9"/>
      <c r="B997" s="9"/>
      <c r="C997" s="9"/>
      <c r="D997" s="9"/>
      <c r="E997" s="9"/>
      <c r="F997" s="9"/>
      <c r="G997" s="9"/>
      <c r="H997" s="9"/>
      <c r="I997" s="9"/>
    </row>
    <row r="998" customFormat="false" ht="15.75" hidden="false" customHeight="false" outlineLevel="0" collapsed="false">
      <c r="A998" s="9"/>
      <c r="B998" s="9"/>
      <c r="C998" s="9"/>
      <c r="D998" s="9"/>
      <c r="E998" s="9"/>
      <c r="F998" s="9"/>
      <c r="G998" s="9"/>
      <c r="H998" s="9"/>
      <c r="I998" s="9"/>
    </row>
    <row r="999" customFormat="false" ht="15.75" hidden="false" customHeight="false" outlineLevel="0" collapsed="false">
      <c r="A999" s="9"/>
      <c r="B999" s="9"/>
      <c r="C999" s="9"/>
      <c r="D999" s="9"/>
      <c r="E999" s="9"/>
      <c r="F999" s="9"/>
      <c r="G999" s="9"/>
      <c r="H999" s="9"/>
      <c r="I999" s="9"/>
    </row>
    <row r="1000" customFormat="false" ht="15.75" hidden="false" customHeight="false" outlineLevel="0" collapsed="false">
      <c r="A1000" s="9"/>
      <c r="B1000" s="9"/>
      <c r="C1000" s="9"/>
      <c r="D1000" s="9"/>
      <c r="E1000" s="9"/>
      <c r="F1000" s="9"/>
      <c r="G1000" s="9"/>
      <c r="H1000" s="9"/>
      <c r="I1000" s="9"/>
    </row>
    <row r="1001" customFormat="false" ht="15.75" hidden="false" customHeight="false" outlineLevel="0" collapsed="false">
      <c r="A1001" s="9"/>
      <c r="B1001" s="9"/>
      <c r="C1001" s="9"/>
      <c r="D1001" s="9"/>
      <c r="E1001" s="9"/>
      <c r="F1001" s="9"/>
      <c r="G1001" s="9"/>
      <c r="H1001" s="9"/>
      <c r="I1001" s="9"/>
    </row>
    <row r="1002" customFormat="false" ht="15.75" hidden="false" customHeight="false" outlineLevel="0" collapsed="false">
      <c r="A1002" s="9"/>
      <c r="B1002" s="9"/>
      <c r="C1002" s="9"/>
      <c r="D1002" s="9"/>
      <c r="E1002" s="9"/>
      <c r="F1002" s="9"/>
      <c r="G1002" s="9"/>
      <c r="H1002" s="9"/>
      <c r="I1002" s="9"/>
    </row>
    <row r="1003" customFormat="false" ht="15.75" hidden="false" customHeight="false" outlineLevel="0" collapsed="false">
      <c r="A1003" s="9"/>
      <c r="B1003" s="9"/>
      <c r="C1003" s="9"/>
      <c r="D1003" s="9"/>
      <c r="E1003" s="9"/>
      <c r="F1003" s="9"/>
      <c r="G1003" s="9"/>
      <c r="H1003" s="9"/>
      <c r="I1003" s="9"/>
    </row>
    <row r="1004" customFormat="false" ht="15.75" hidden="false" customHeight="false" outlineLevel="0" collapsed="false">
      <c r="A1004" s="9"/>
      <c r="B1004" s="9"/>
      <c r="C1004" s="9"/>
      <c r="D1004" s="9"/>
      <c r="E1004" s="9"/>
      <c r="F1004" s="9"/>
      <c r="G1004" s="9"/>
      <c r="H1004" s="9"/>
      <c r="I1004" s="9"/>
    </row>
    <row r="1005" customFormat="false" ht="15.75" hidden="false" customHeight="false" outlineLevel="0" collapsed="false">
      <c r="A1005" s="9"/>
      <c r="B1005" s="9"/>
      <c r="C1005" s="9"/>
      <c r="D1005" s="9"/>
      <c r="E1005" s="9"/>
      <c r="F1005" s="9"/>
      <c r="G1005" s="9"/>
      <c r="H1005" s="9"/>
      <c r="I1005" s="9"/>
    </row>
    <row r="1006" customFormat="false" ht="15.75" hidden="false" customHeight="false" outlineLevel="0" collapsed="false">
      <c r="A1006" s="9"/>
      <c r="B1006" s="9"/>
      <c r="C1006" s="9"/>
      <c r="D1006" s="9"/>
      <c r="E1006" s="9"/>
      <c r="F1006" s="9"/>
      <c r="G1006" s="9"/>
      <c r="H1006" s="9"/>
      <c r="I1006" s="9"/>
    </row>
    <row r="1007" customFormat="false" ht="15.75" hidden="false" customHeight="false" outlineLevel="0" collapsed="false">
      <c r="A1007" s="9"/>
      <c r="B1007" s="9"/>
      <c r="C1007" s="9"/>
      <c r="D1007" s="9"/>
      <c r="E1007" s="9"/>
      <c r="F1007" s="9"/>
      <c r="G1007" s="9"/>
      <c r="H1007" s="9"/>
      <c r="I1007" s="9"/>
    </row>
    <row r="1008" customFormat="false" ht="15.75" hidden="false" customHeight="false" outlineLevel="0" collapsed="false">
      <c r="A1008" s="9"/>
      <c r="B1008" s="9"/>
      <c r="C1008" s="9"/>
      <c r="D1008" s="9"/>
      <c r="E1008" s="9"/>
      <c r="F1008" s="9"/>
      <c r="G1008" s="9"/>
      <c r="H1008" s="9"/>
      <c r="I1008" s="9"/>
    </row>
    <row r="1009" customFormat="false" ht="15.75" hidden="false" customHeight="false" outlineLevel="0" collapsed="false">
      <c r="A1009" s="9"/>
      <c r="B1009" s="9"/>
      <c r="C1009" s="9"/>
      <c r="D1009" s="9"/>
      <c r="E1009" s="9"/>
      <c r="F1009" s="9"/>
      <c r="G1009" s="9"/>
      <c r="H1009" s="9"/>
      <c r="I1009" s="9"/>
    </row>
    <row r="1010" customFormat="false" ht="15.75" hidden="false" customHeight="false" outlineLevel="0" collapsed="false">
      <c r="A1010" s="9"/>
      <c r="B1010" s="9"/>
      <c r="C1010" s="9"/>
      <c r="D1010" s="9"/>
      <c r="E1010" s="9"/>
      <c r="F1010" s="9"/>
      <c r="G1010" s="9"/>
      <c r="H1010" s="9"/>
      <c r="I1010" s="9"/>
    </row>
    <row r="1011" customFormat="false" ht="15.75" hidden="false" customHeight="false" outlineLevel="0" collapsed="false">
      <c r="A1011" s="9"/>
      <c r="B1011" s="9"/>
      <c r="C1011" s="9"/>
      <c r="D1011" s="9"/>
      <c r="E1011" s="9"/>
      <c r="F1011" s="9"/>
      <c r="G1011" s="9"/>
      <c r="H1011" s="9"/>
      <c r="I1011" s="9"/>
    </row>
    <row r="1012" customFormat="false" ht="15.75" hidden="false" customHeight="false" outlineLevel="0" collapsed="false">
      <c r="A1012" s="9"/>
      <c r="B1012" s="9"/>
      <c r="C1012" s="9"/>
      <c r="D1012" s="9"/>
      <c r="E1012" s="9"/>
      <c r="F1012" s="9"/>
      <c r="G1012" s="9"/>
      <c r="H1012" s="9"/>
      <c r="I1012" s="9"/>
    </row>
    <row r="1013" customFormat="false" ht="15.75" hidden="false" customHeight="false" outlineLevel="0" collapsed="false">
      <c r="A1013" s="9"/>
      <c r="B1013" s="9"/>
      <c r="C1013" s="9"/>
      <c r="D1013" s="9"/>
      <c r="E1013" s="9"/>
      <c r="F1013" s="9"/>
      <c r="G1013" s="9"/>
      <c r="H1013" s="9"/>
      <c r="I1013" s="9"/>
    </row>
    <row r="1014" customFormat="false" ht="15.75" hidden="false" customHeight="false" outlineLevel="0" collapsed="false">
      <c r="A1014" s="9"/>
      <c r="B1014" s="9"/>
      <c r="C1014" s="9"/>
      <c r="D1014" s="9"/>
      <c r="E1014" s="9"/>
      <c r="F1014" s="9"/>
      <c r="G1014" s="9"/>
      <c r="H1014" s="9"/>
      <c r="I1014" s="9"/>
    </row>
    <row r="1015" customFormat="false" ht="15.75" hidden="false" customHeight="false" outlineLevel="0" collapsed="false">
      <c r="A1015" s="9"/>
      <c r="B1015" s="9"/>
      <c r="C1015" s="9"/>
      <c r="D1015" s="9"/>
      <c r="E1015" s="9"/>
      <c r="F1015" s="9"/>
      <c r="G1015" s="9"/>
      <c r="H1015" s="9"/>
      <c r="I1015" s="9"/>
    </row>
    <row r="1016" customFormat="false" ht="15.75" hidden="false" customHeight="false" outlineLevel="0" collapsed="false">
      <c r="A1016" s="9"/>
      <c r="B1016" s="9"/>
      <c r="C1016" s="9"/>
      <c r="D1016" s="9"/>
      <c r="E1016" s="9"/>
      <c r="F1016" s="9"/>
      <c r="G1016" s="9"/>
      <c r="H1016" s="9"/>
      <c r="I1016" s="9"/>
    </row>
    <row r="1017" customFormat="false" ht="15.75" hidden="false" customHeight="false" outlineLevel="0" collapsed="false">
      <c r="A1017" s="9"/>
      <c r="B1017" s="9"/>
      <c r="C1017" s="9"/>
      <c r="D1017" s="9"/>
      <c r="E1017" s="9"/>
      <c r="F1017" s="9"/>
      <c r="G1017" s="9"/>
      <c r="H1017" s="9"/>
      <c r="I1017" s="9"/>
    </row>
    <row r="1018" customFormat="false" ht="15.75" hidden="false" customHeight="false" outlineLevel="0" collapsed="false">
      <c r="A1018" s="9"/>
      <c r="B1018" s="9"/>
      <c r="C1018" s="9"/>
      <c r="D1018" s="9"/>
      <c r="E1018" s="9"/>
      <c r="F1018" s="9"/>
      <c r="G1018" s="9"/>
      <c r="H1018" s="9"/>
      <c r="I1018" s="9"/>
    </row>
    <row r="1019" customFormat="false" ht="15.75" hidden="false" customHeight="false" outlineLevel="0" collapsed="false">
      <c r="A1019" s="9"/>
      <c r="B1019" s="9"/>
      <c r="C1019" s="9"/>
      <c r="D1019" s="9"/>
      <c r="E1019" s="9"/>
      <c r="F1019" s="9"/>
      <c r="G1019" s="9"/>
      <c r="H1019" s="9"/>
      <c r="I1019" s="9"/>
    </row>
    <row r="1020" customFormat="false" ht="15.75" hidden="false" customHeight="false" outlineLevel="0" collapsed="false">
      <c r="A1020" s="9"/>
      <c r="B1020" s="9"/>
      <c r="C1020" s="9"/>
      <c r="D1020" s="9"/>
      <c r="E1020" s="9"/>
      <c r="F1020" s="9"/>
      <c r="G1020" s="9"/>
      <c r="H1020" s="9"/>
      <c r="I1020" s="9"/>
    </row>
    <row r="1021" customFormat="false" ht="15.75" hidden="false" customHeight="false" outlineLevel="0" collapsed="false">
      <c r="A1021" s="9"/>
      <c r="B1021" s="9"/>
      <c r="C1021" s="9"/>
      <c r="D1021" s="9"/>
      <c r="E1021" s="9"/>
      <c r="F1021" s="9"/>
      <c r="G1021" s="9"/>
      <c r="H1021" s="9"/>
      <c r="I1021" s="9"/>
    </row>
    <row r="1022" customFormat="false" ht="15.75" hidden="false" customHeight="false" outlineLevel="0" collapsed="false">
      <c r="A1022" s="9"/>
      <c r="B1022" s="9"/>
      <c r="C1022" s="9"/>
      <c r="D1022" s="9"/>
      <c r="E1022" s="9"/>
      <c r="F1022" s="9"/>
      <c r="G1022" s="9"/>
      <c r="H1022" s="9"/>
      <c r="I1022" s="9"/>
    </row>
    <row r="1023" customFormat="false" ht="15.75" hidden="false" customHeight="false" outlineLevel="0" collapsed="false">
      <c r="A1023" s="9"/>
      <c r="B1023" s="9"/>
      <c r="C1023" s="9"/>
      <c r="D1023" s="9"/>
      <c r="E1023" s="9"/>
      <c r="F1023" s="9"/>
      <c r="G1023" s="9"/>
      <c r="H1023" s="9"/>
      <c r="I1023" s="9"/>
    </row>
    <row r="1024" customFormat="false" ht="15.75" hidden="false" customHeight="false" outlineLevel="0" collapsed="false">
      <c r="A1024" s="9"/>
      <c r="B1024" s="9"/>
      <c r="C1024" s="9"/>
      <c r="D1024" s="9"/>
      <c r="E1024" s="9"/>
      <c r="F1024" s="9"/>
      <c r="G1024" s="9"/>
      <c r="H1024" s="9"/>
      <c r="I1024" s="9"/>
    </row>
    <row r="1025" customFormat="false" ht="15.75" hidden="false" customHeight="false" outlineLevel="0" collapsed="false">
      <c r="A1025" s="9"/>
      <c r="B1025" s="9"/>
      <c r="C1025" s="9"/>
      <c r="D1025" s="9"/>
      <c r="E1025" s="9"/>
      <c r="F1025" s="9"/>
      <c r="G1025" s="9"/>
      <c r="H1025" s="9"/>
      <c r="I1025" s="9"/>
    </row>
    <row r="1026" customFormat="false" ht="15.75" hidden="false" customHeight="false" outlineLevel="0" collapsed="false">
      <c r="A1026" s="9"/>
      <c r="B1026" s="9"/>
      <c r="C1026" s="9"/>
      <c r="D1026" s="9"/>
      <c r="E1026" s="9"/>
      <c r="F1026" s="9"/>
      <c r="G1026" s="9"/>
      <c r="H1026" s="9"/>
      <c r="I1026" s="9"/>
    </row>
    <row r="1027" customFormat="false" ht="15.75" hidden="false" customHeight="false" outlineLevel="0" collapsed="false">
      <c r="A1027" s="9"/>
      <c r="B1027" s="9"/>
      <c r="C1027" s="9"/>
      <c r="D1027" s="9"/>
      <c r="E1027" s="9"/>
      <c r="F1027" s="9"/>
      <c r="G1027" s="9"/>
      <c r="H1027" s="9"/>
      <c r="I1027" s="9"/>
    </row>
    <row r="1028" customFormat="false" ht="15.75" hidden="false" customHeight="false" outlineLevel="0" collapsed="false">
      <c r="A1028" s="9"/>
      <c r="B1028" s="9"/>
      <c r="C1028" s="9"/>
      <c r="D1028" s="9"/>
      <c r="E1028" s="9"/>
      <c r="F1028" s="9"/>
      <c r="G1028" s="9"/>
      <c r="H1028" s="9"/>
      <c r="I1028" s="9"/>
    </row>
    <row r="1029" customFormat="false" ht="15.75" hidden="false" customHeight="false" outlineLevel="0" collapsed="false">
      <c r="A1029" s="9"/>
      <c r="B1029" s="9"/>
      <c r="C1029" s="9"/>
      <c r="D1029" s="9"/>
      <c r="E1029" s="9"/>
      <c r="F1029" s="9"/>
      <c r="G1029" s="9"/>
      <c r="H1029" s="9"/>
      <c r="I1029" s="9"/>
    </row>
    <row r="1030" customFormat="false" ht="15.75" hidden="false" customHeight="false" outlineLevel="0" collapsed="false">
      <c r="A1030" s="9"/>
      <c r="B1030" s="9"/>
      <c r="C1030" s="9"/>
      <c r="D1030" s="9"/>
      <c r="E1030" s="9"/>
      <c r="F1030" s="9"/>
      <c r="G1030" s="9"/>
      <c r="H1030" s="9"/>
      <c r="I1030" s="9"/>
    </row>
    <row r="1031" customFormat="false" ht="15.75" hidden="false" customHeight="false" outlineLevel="0" collapsed="false">
      <c r="A1031" s="9"/>
      <c r="B1031" s="9"/>
      <c r="C1031" s="9"/>
      <c r="D1031" s="9"/>
      <c r="E1031" s="9"/>
      <c r="F1031" s="9"/>
      <c r="G1031" s="9"/>
      <c r="H1031" s="9"/>
      <c r="I1031" s="9"/>
    </row>
    <row r="1032" customFormat="false" ht="15.75" hidden="false" customHeight="false" outlineLevel="0" collapsed="false">
      <c r="A1032" s="9"/>
      <c r="B1032" s="9"/>
      <c r="C1032" s="9"/>
      <c r="D1032" s="9"/>
      <c r="E1032" s="9"/>
      <c r="F1032" s="9"/>
      <c r="G1032" s="9"/>
      <c r="H1032" s="9"/>
      <c r="I1032" s="9"/>
    </row>
    <row r="1033" customFormat="false" ht="15.75" hidden="false" customHeight="false" outlineLevel="0" collapsed="false">
      <c r="A1033" s="9"/>
      <c r="B1033" s="9"/>
      <c r="C1033" s="9"/>
      <c r="D1033" s="9"/>
      <c r="E1033" s="9"/>
      <c r="F1033" s="9"/>
      <c r="G1033" s="9"/>
      <c r="H1033" s="9"/>
      <c r="I1033" s="9"/>
    </row>
    <row r="1034" customFormat="false" ht="15.75" hidden="false" customHeight="false" outlineLevel="0" collapsed="false">
      <c r="A1034" s="9"/>
      <c r="B1034" s="9"/>
      <c r="C1034" s="9"/>
      <c r="D1034" s="9"/>
      <c r="E1034" s="9"/>
      <c r="F1034" s="9"/>
      <c r="G1034" s="9"/>
      <c r="H1034" s="9"/>
      <c r="I1034" s="9"/>
    </row>
    <row r="1035" customFormat="false" ht="15.75" hidden="false" customHeight="false" outlineLevel="0" collapsed="false">
      <c r="A1035" s="9"/>
      <c r="B1035" s="9"/>
      <c r="C1035" s="9"/>
      <c r="D1035" s="9"/>
      <c r="E1035" s="9"/>
      <c r="F1035" s="9"/>
      <c r="G1035" s="9"/>
      <c r="H1035" s="9"/>
      <c r="I1035" s="9"/>
    </row>
    <row r="1036" customFormat="false" ht="15.75" hidden="false" customHeight="false" outlineLevel="0" collapsed="false">
      <c r="A1036" s="9"/>
      <c r="B1036" s="9"/>
      <c r="C1036" s="9"/>
      <c r="D1036" s="9"/>
      <c r="E1036" s="9"/>
      <c r="F1036" s="9"/>
      <c r="G1036" s="9"/>
      <c r="H1036" s="9"/>
      <c r="I1036" s="9"/>
    </row>
    <row r="1037" customFormat="false" ht="15.75" hidden="false" customHeight="false" outlineLevel="0" collapsed="false">
      <c r="A1037" s="9"/>
      <c r="B1037" s="9"/>
      <c r="C1037" s="9"/>
      <c r="D1037" s="9"/>
      <c r="E1037" s="9"/>
      <c r="F1037" s="9"/>
      <c r="G1037" s="9"/>
      <c r="H1037" s="9"/>
      <c r="I1037" s="9"/>
    </row>
    <row r="1038" customFormat="false" ht="15.75" hidden="false" customHeight="false" outlineLevel="0" collapsed="false">
      <c r="A1038" s="9"/>
      <c r="B1038" s="9"/>
      <c r="C1038" s="9"/>
      <c r="D1038" s="9"/>
      <c r="E1038" s="9"/>
      <c r="F1038" s="9"/>
      <c r="G1038" s="9"/>
      <c r="H1038" s="9"/>
      <c r="I1038" s="9"/>
    </row>
    <row r="1039" customFormat="false" ht="15.75" hidden="false" customHeight="false" outlineLevel="0" collapsed="false">
      <c r="A1039" s="9"/>
      <c r="B1039" s="9"/>
      <c r="C1039" s="9"/>
      <c r="D1039" s="9"/>
      <c r="E1039" s="9"/>
      <c r="F1039" s="9"/>
      <c r="G1039" s="9"/>
      <c r="H1039" s="9"/>
      <c r="I1039" s="9"/>
    </row>
    <row r="1040" customFormat="false" ht="15.75" hidden="false" customHeight="false" outlineLevel="0" collapsed="false">
      <c r="A1040" s="9"/>
      <c r="B1040" s="9"/>
      <c r="C1040" s="9"/>
      <c r="D1040" s="9"/>
      <c r="E1040" s="9"/>
      <c r="F1040" s="9"/>
      <c r="G1040" s="9"/>
      <c r="H1040" s="9"/>
      <c r="I1040" s="9"/>
    </row>
    <row r="1041" customFormat="false" ht="15.75" hidden="false" customHeight="false" outlineLevel="0" collapsed="false">
      <c r="A1041" s="9"/>
      <c r="B1041" s="9"/>
      <c r="C1041" s="9"/>
      <c r="D1041" s="9"/>
      <c r="E1041" s="9"/>
      <c r="F1041" s="9"/>
      <c r="G1041" s="9"/>
      <c r="H1041" s="9"/>
      <c r="I1041" s="9"/>
    </row>
    <row r="1042" customFormat="false" ht="15.75" hidden="false" customHeight="false" outlineLevel="0" collapsed="false">
      <c r="A1042" s="9"/>
      <c r="B1042" s="9"/>
      <c r="C1042" s="9"/>
      <c r="D1042" s="9"/>
      <c r="E1042" s="9"/>
      <c r="F1042" s="9"/>
      <c r="G1042" s="9"/>
      <c r="H1042" s="9"/>
      <c r="I1042" s="9"/>
    </row>
    <row r="1043" customFormat="false" ht="15.75" hidden="false" customHeight="false" outlineLevel="0" collapsed="false">
      <c r="A1043" s="9"/>
      <c r="B1043" s="9"/>
      <c r="C1043" s="9"/>
      <c r="D1043" s="9"/>
      <c r="E1043" s="9"/>
      <c r="F1043" s="9"/>
      <c r="G1043" s="9"/>
      <c r="H1043" s="9"/>
      <c r="I1043" s="9"/>
    </row>
    <row r="1044" customFormat="false" ht="15.75" hidden="false" customHeight="false" outlineLevel="0" collapsed="false">
      <c r="A1044" s="9"/>
      <c r="B1044" s="9"/>
      <c r="C1044" s="9"/>
      <c r="D1044" s="9"/>
      <c r="E1044" s="9"/>
      <c r="F1044" s="9"/>
      <c r="G1044" s="9"/>
      <c r="H1044" s="9"/>
      <c r="I1044" s="9"/>
    </row>
    <row r="1045" customFormat="false" ht="15.75" hidden="false" customHeight="false" outlineLevel="0" collapsed="false">
      <c r="A1045" s="9"/>
      <c r="B1045" s="9"/>
      <c r="C1045" s="9"/>
      <c r="D1045" s="9"/>
      <c r="E1045" s="9"/>
      <c r="F1045" s="9"/>
      <c r="G1045" s="9"/>
      <c r="H1045" s="9"/>
      <c r="I1045" s="9"/>
    </row>
    <row r="1046" customFormat="false" ht="15.75" hidden="false" customHeight="false" outlineLevel="0" collapsed="false">
      <c r="A1046" s="9"/>
      <c r="B1046" s="9"/>
      <c r="C1046" s="9"/>
      <c r="D1046" s="9"/>
      <c r="E1046" s="9"/>
      <c r="F1046" s="9"/>
      <c r="G1046" s="9"/>
      <c r="H1046" s="9"/>
      <c r="I1046" s="9"/>
    </row>
    <row r="1047" customFormat="false" ht="15.75" hidden="false" customHeight="false" outlineLevel="0" collapsed="false">
      <c r="A1047" s="9"/>
      <c r="B1047" s="9"/>
      <c r="C1047" s="9"/>
      <c r="D1047" s="9"/>
      <c r="E1047" s="9"/>
      <c r="F1047" s="9"/>
      <c r="G1047" s="9"/>
      <c r="H1047" s="9"/>
      <c r="I1047" s="9"/>
    </row>
    <row r="1048" customFormat="false" ht="15.75" hidden="false" customHeight="false" outlineLevel="0" collapsed="false">
      <c r="A1048" s="9"/>
      <c r="B1048" s="9"/>
      <c r="C1048" s="9"/>
      <c r="D1048" s="9"/>
      <c r="E1048" s="9"/>
      <c r="F1048" s="9"/>
      <c r="G1048" s="9"/>
      <c r="H1048" s="9"/>
      <c r="I1048" s="9"/>
    </row>
    <row r="1049" customFormat="false" ht="15.75" hidden="false" customHeight="false" outlineLevel="0" collapsed="false">
      <c r="A1049" s="9"/>
      <c r="B1049" s="9"/>
      <c r="C1049" s="9"/>
      <c r="D1049" s="9"/>
      <c r="E1049" s="9"/>
      <c r="F1049" s="9"/>
      <c r="G1049" s="9"/>
      <c r="H1049" s="9"/>
      <c r="I1049" s="9"/>
    </row>
    <row r="1050" customFormat="false" ht="15.75" hidden="false" customHeight="false" outlineLevel="0" collapsed="false">
      <c r="A1050" s="9"/>
      <c r="B1050" s="9"/>
      <c r="C1050" s="9"/>
      <c r="D1050" s="9"/>
      <c r="E1050" s="9"/>
      <c r="F1050" s="9"/>
      <c r="G1050" s="9"/>
      <c r="H1050" s="9"/>
      <c r="I1050" s="9"/>
    </row>
    <row r="1051" customFormat="false" ht="15.75" hidden="false" customHeight="false" outlineLevel="0" collapsed="false">
      <c r="A1051" s="9"/>
      <c r="B1051" s="9"/>
      <c r="C1051" s="9"/>
      <c r="D1051" s="9"/>
      <c r="E1051" s="9"/>
      <c r="F1051" s="9"/>
      <c r="G1051" s="9"/>
      <c r="H1051" s="9"/>
      <c r="I1051" s="9"/>
    </row>
    <row r="1052" customFormat="false" ht="15.75" hidden="false" customHeight="false" outlineLevel="0" collapsed="false">
      <c r="A1052" s="9"/>
      <c r="B1052" s="9"/>
      <c r="C1052" s="9"/>
      <c r="D1052" s="9"/>
      <c r="E1052" s="9"/>
      <c r="F1052" s="9"/>
      <c r="G1052" s="9"/>
      <c r="H1052" s="9"/>
      <c r="I1052" s="9"/>
    </row>
    <row r="1053" customFormat="false" ht="15.75" hidden="false" customHeight="false" outlineLevel="0" collapsed="false">
      <c r="A1053" s="9"/>
      <c r="B1053" s="9"/>
      <c r="C1053" s="9"/>
      <c r="D1053" s="9"/>
      <c r="E1053" s="9"/>
      <c r="F1053" s="9"/>
      <c r="G1053" s="9"/>
      <c r="H1053" s="9"/>
      <c r="I1053" s="9"/>
    </row>
    <row r="1054" customFormat="false" ht="15.75" hidden="false" customHeight="false" outlineLevel="0" collapsed="false">
      <c r="A1054" s="9"/>
      <c r="B1054" s="9"/>
      <c r="C1054" s="9"/>
      <c r="D1054" s="9"/>
      <c r="E1054" s="9"/>
      <c r="F1054" s="9"/>
      <c r="G1054" s="9"/>
      <c r="H1054" s="9"/>
      <c r="I1054" s="9"/>
    </row>
    <row r="1055" customFormat="false" ht="15.75" hidden="false" customHeight="false" outlineLevel="0" collapsed="false">
      <c r="A1055" s="9"/>
      <c r="B1055" s="9"/>
      <c r="C1055" s="9"/>
      <c r="D1055" s="9"/>
      <c r="E1055" s="9"/>
      <c r="F1055" s="9"/>
      <c r="G1055" s="9"/>
      <c r="H1055" s="9"/>
      <c r="I1055" s="9"/>
    </row>
    <row r="1056" customFormat="false" ht="15.75" hidden="false" customHeight="false" outlineLevel="0" collapsed="false">
      <c r="A1056" s="9"/>
      <c r="B1056" s="9"/>
      <c r="C1056" s="9"/>
      <c r="D1056" s="9"/>
      <c r="E1056" s="9"/>
      <c r="F1056" s="9"/>
      <c r="G1056" s="9"/>
      <c r="H1056" s="9"/>
      <c r="I1056" s="9"/>
    </row>
    <row r="1057" customFormat="false" ht="15.75" hidden="false" customHeight="false" outlineLevel="0" collapsed="false">
      <c r="A1057" s="9"/>
      <c r="B1057" s="9"/>
      <c r="C1057" s="9"/>
      <c r="D1057" s="9"/>
      <c r="E1057" s="9"/>
      <c r="F1057" s="9"/>
      <c r="G1057" s="9"/>
      <c r="H1057" s="9"/>
      <c r="I1057" s="9"/>
    </row>
    <row r="1058" customFormat="false" ht="15.75" hidden="false" customHeight="false" outlineLevel="0" collapsed="false">
      <c r="A1058" s="9"/>
      <c r="B1058" s="9"/>
      <c r="C1058" s="9"/>
      <c r="D1058" s="9"/>
      <c r="E1058" s="9"/>
      <c r="F1058" s="9"/>
      <c r="G1058" s="9"/>
      <c r="H1058" s="9"/>
      <c r="I1058" s="9"/>
    </row>
    <row r="1059" customFormat="false" ht="15.75" hidden="false" customHeight="false" outlineLevel="0" collapsed="false">
      <c r="A1059" s="9"/>
      <c r="B1059" s="9"/>
      <c r="C1059" s="9"/>
      <c r="D1059" s="9"/>
      <c r="E1059" s="9"/>
      <c r="F1059" s="9"/>
      <c r="G1059" s="9"/>
      <c r="H1059" s="9"/>
      <c r="I1059" s="9"/>
    </row>
    <row r="1060" customFormat="false" ht="15.75" hidden="false" customHeight="false" outlineLevel="0" collapsed="false">
      <c r="A1060" s="9"/>
      <c r="B1060" s="9"/>
      <c r="C1060" s="9"/>
      <c r="D1060" s="9"/>
      <c r="E1060" s="9"/>
      <c r="F1060" s="9"/>
      <c r="G1060" s="9"/>
      <c r="H1060" s="9"/>
      <c r="I1060" s="9"/>
    </row>
    <row r="1061" customFormat="false" ht="15.75" hidden="false" customHeight="false" outlineLevel="0" collapsed="false">
      <c r="A1061" s="9"/>
      <c r="B1061" s="9"/>
      <c r="C1061" s="9"/>
      <c r="D1061" s="9"/>
      <c r="E1061" s="9"/>
      <c r="F1061" s="9"/>
      <c r="G1061" s="9"/>
      <c r="H1061" s="9"/>
      <c r="I1061" s="9"/>
    </row>
    <row r="1062" customFormat="false" ht="15.75" hidden="false" customHeight="false" outlineLevel="0" collapsed="false">
      <c r="A1062" s="9"/>
      <c r="B1062" s="9"/>
      <c r="C1062" s="9"/>
      <c r="D1062" s="9"/>
      <c r="E1062" s="9"/>
      <c r="F1062" s="9"/>
      <c r="G1062" s="9"/>
      <c r="H1062" s="9"/>
      <c r="I1062" s="9"/>
    </row>
    <row r="1063" customFormat="false" ht="15.75" hidden="false" customHeight="false" outlineLevel="0" collapsed="false">
      <c r="A1063" s="9"/>
      <c r="B1063" s="9"/>
      <c r="C1063" s="9"/>
      <c r="D1063" s="9"/>
      <c r="E1063" s="9"/>
      <c r="F1063" s="9"/>
      <c r="G1063" s="9"/>
      <c r="H1063" s="9"/>
      <c r="I1063" s="9"/>
    </row>
    <row r="1064" customFormat="false" ht="15.75" hidden="false" customHeight="false" outlineLevel="0" collapsed="false">
      <c r="A1064" s="9"/>
      <c r="B1064" s="9"/>
      <c r="C1064" s="9"/>
      <c r="D1064" s="9"/>
      <c r="E1064" s="9"/>
      <c r="F1064" s="9"/>
      <c r="G1064" s="9"/>
      <c r="H1064" s="9"/>
      <c r="I1064" s="9"/>
    </row>
    <row r="1065" customFormat="false" ht="15.75" hidden="false" customHeight="false" outlineLevel="0" collapsed="false">
      <c r="A1065" s="9"/>
      <c r="B1065" s="9"/>
      <c r="C1065" s="9"/>
      <c r="D1065" s="9"/>
      <c r="E1065" s="9"/>
      <c r="F1065" s="9"/>
      <c r="G1065" s="9"/>
      <c r="H1065" s="9"/>
      <c r="I1065" s="9"/>
    </row>
    <row r="1066" customFormat="false" ht="15.75" hidden="false" customHeight="false" outlineLevel="0" collapsed="false">
      <c r="A1066" s="9"/>
      <c r="B1066" s="9"/>
      <c r="C1066" s="9"/>
      <c r="D1066" s="9"/>
      <c r="E1066" s="9"/>
      <c r="F1066" s="9"/>
      <c r="G1066" s="9"/>
      <c r="H1066" s="9"/>
      <c r="I1066" s="9"/>
    </row>
    <row r="1067" customFormat="false" ht="15.75" hidden="false" customHeight="false" outlineLevel="0" collapsed="false">
      <c r="A1067" s="9"/>
      <c r="B1067" s="9"/>
      <c r="C1067" s="9"/>
      <c r="D1067" s="9"/>
      <c r="E1067" s="9"/>
      <c r="F1067" s="9"/>
      <c r="G1067" s="9"/>
      <c r="H1067" s="9"/>
      <c r="I1067" s="9"/>
    </row>
    <row r="1068" customFormat="false" ht="15.75" hidden="false" customHeight="false" outlineLevel="0" collapsed="false">
      <c r="A1068" s="9"/>
      <c r="B1068" s="9"/>
      <c r="C1068" s="9"/>
      <c r="D1068" s="9"/>
      <c r="E1068" s="9"/>
      <c r="F1068" s="9"/>
      <c r="G1068" s="9"/>
      <c r="H1068" s="9"/>
      <c r="I1068" s="9"/>
    </row>
    <row r="1069" customFormat="false" ht="15.75" hidden="false" customHeight="false" outlineLevel="0" collapsed="false">
      <c r="A1069" s="9"/>
      <c r="B1069" s="9"/>
      <c r="C1069" s="9"/>
      <c r="D1069" s="9"/>
      <c r="E1069" s="9"/>
      <c r="F1069" s="9"/>
      <c r="G1069" s="9"/>
      <c r="H1069" s="9"/>
      <c r="I1069" s="9"/>
    </row>
    <row r="1070" customFormat="false" ht="15.75" hidden="false" customHeight="false" outlineLevel="0" collapsed="false">
      <c r="A1070" s="9"/>
      <c r="B1070" s="9"/>
      <c r="C1070" s="9"/>
      <c r="D1070" s="9"/>
      <c r="E1070" s="9"/>
      <c r="F1070" s="9"/>
      <c r="G1070" s="9"/>
      <c r="H1070" s="9"/>
      <c r="I1070" s="9"/>
    </row>
    <row r="1071" customFormat="false" ht="15.75" hidden="false" customHeight="false" outlineLevel="0" collapsed="false">
      <c r="A1071" s="9"/>
      <c r="B1071" s="9"/>
      <c r="C1071" s="9"/>
      <c r="D1071" s="9"/>
      <c r="E1071" s="9"/>
      <c r="F1071" s="9"/>
      <c r="G1071" s="9"/>
      <c r="H1071" s="9"/>
      <c r="I1071" s="9"/>
    </row>
    <row r="1072" customFormat="false" ht="15.75" hidden="false" customHeight="false" outlineLevel="0" collapsed="false">
      <c r="A1072" s="9"/>
      <c r="B1072" s="9"/>
      <c r="C1072" s="9"/>
      <c r="D1072" s="9"/>
      <c r="E1072" s="9"/>
      <c r="F1072" s="9"/>
      <c r="G1072" s="9"/>
      <c r="H1072" s="9"/>
      <c r="I1072" s="9"/>
    </row>
    <row r="1073" customFormat="false" ht="15.75" hidden="false" customHeight="false" outlineLevel="0" collapsed="false">
      <c r="A1073" s="9"/>
      <c r="B1073" s="9"/>
      <c r="C1073" s="9"/>
      <c r="D1073" s="9"/>
      <c r="E1073" s="9"/>
      <c r="F1073" s="9"/>
      <c r="G1073" s="9"/>
      <c r="H1073" s="9"/>
      <c r="I1073" s="9"/>
    </row>
    <row r="1074" customFormat="false" ht="15.75" hidden="false" customHeight="false" outlineLevel="0" collapsed="false">
      <c r="A1074" s="9"/>
      <c r="B1074" s="9"/>
      <c r="C1074" s="9"/>
      <c r="D1074" s="9"/>
      <c r="E1074" s="9"/>
      <c r="F1074" s="9"/>
      <c r="G1074" s="9"/>
      <c r="H1074" s="9"/>
      <c r="I1074" s="9"/>
    </row>
    <row r="1075" customFormat="false" ht="15.75" hidden="false" customHeight="false" outlineLevel="0" collapsed="false">
      <c r="A1075" s="9"/>
      <c r="B1075" s="9"/>
      <c r="C1075" s="9"/>
      <c r="D1075" s="9"/>
      <c r="E1075" s="9"/>
      <c r="F1075" s="9"/>
      <c r="G1075" s="9"/>
      <c r="H1075" s="9"/>
      <c r="I1075" s="9"/>
    </row>
    <row r="1076" customFormat="false" ht="15.75" hidden="false" customHeight="false" outlineLevel="0" collapsed="false">
      <c r="A1076" s="9"/>
      <c r="B1076" s="9"/>
      <c r="C1076" s="9"/>
      <c r="D1076" s="9"/>
      <c r="E1076" s="9"/>
      <c r="F1076" s="9"/>
      <c r="G1076" s="9"/>
      <c r="H1076" s="9"/>
      <c r="I1076" s="9"/>
    </row>
    <row r="1077" customFormat="false" ht="15.75" hidden="false" customHeight="false" outlineLevel="0" collapsed="false">
      <c r="A1077" s="9"/>
      <c r="B1077" s="9"/>
      <c r="C1077" s="9"/>
      <c r="D1077" s="9"/>
      <c r="E1077" s="9"/>
      <c r="F1077" s="9"/>
      <c r="G1077" s="9"/>
      <c r="H1077" s="9"/>
      <c r="I1077" s="9"/>
    </row>
    <row r="1078" customFormat="false" ht="15.75" hidden="false" customHeight="false" outlineLevel="0" collapsed="false">
      <c r="A1078" s="9"/>
      <c r="B1078" s="9"/>
      <c r="C1078" s="9"/>
      <c r="D1078" s="9"/>
      <c r="E1078" s="9"/>
      <c r="F1078" s="9"/>
      <c r="G1078" s="9"/>
      <c r="H1078" s="9"/>
      <c r="I1078" s="9"/>
    </row>
    <row r="1079" customFormat="false" ht="15.75" hidden="false" customHeight="false" outlineLevel="0" collapsed="false">
      <c r="A1079" s="9"/>
      <c r="B1079" s="9"/>
      <c r="C1079" s="9"/>
      <c r="D1079" s="9"/>
      <c r="E1079" s="9"/>
      <c r="F1079" s="9"/>
      <c r="G1079" s="9"/>
      <c r="H1079" s="9"/>
      <c r="I1079" s="9"/>
    </row>
    <row r="1080" customFormat="false" ht="15.75" hidden="false" customHeight="false" outlineLevel="0" collapsed="false">
      <c r="A1080" s="9"/>
      <c r="B1080" s="9"/>
      <c r="C1080" s="9"/>
      <c r="D1080" s="9"/>
      <c r="E1080" s="9"/>
      <c r="F1080" s="9"/>
      <c r="G1080" s="9"/>
      <c r="H1080" s="9"/>
      <c r="I1080" s="9"/>
    </row>
    <row r="1081" customFormat="false" ht="15.75" hidden="false" customHeight="false" outlineLevel="0" collapsed="false">
      <c r="A1081" s="9"/>
      <c r="B1081" s="9"/>
      <c r="C1081" s="9"/>
      <c r="D1081" s="9"/>
      <c r="E1081" s="9"/>
      <c r="F1081" s="9"/>
      <c r="G1081" s="9"/>
      <c r="H1081" s="9"/>
      <c r="I1081" s="9"/>
    </row>
    <row r="1082" customFormat="false" ht="15.75" hidden="false" customHeight="false" outlineLevel="0" collapsed="false">
      <c r="A1082" s="9"/>
      <c r="B1082" s="9"/>
      <c r="C1082" s="9"/>
      <c r="D1082" s="9"/>
      <c r="E1082" s="9"/>
      <c r="F1082" s="9"/>
      <c r="G1082" s="9"/>
      <c r="H1082" s="9"/>
      <c r="I1082" s="9"/>
    </row>
    <row r="1083" customFormat="false" ht="15.75" hidden="false" customHeight="false" outlineLevel="0" collapsed="false">
      <c r="A1083" s="9"/>
      <c r="B1083" s="9"/>
      <c r="C1083" s="9"/>
      <c r="D1083" s="9"/>
      <c r="E1083" s="9"/>
      <c r="F1083" s="9"/>
      <c r="G1083" s="9"/>
      <c r="H1083" s="9"/>
      <c r="I1083" s="9"/>
    </row>
    <row r="1084" customFormat="false" ht="15.75" hidden="false" customHeight="false" outlineLevel="0" collapsed="false">
      <c r="A1084" s="9"/>
      <c r="B1084" s="9"/>
      <c r="C1084" s="9"/>
      <c r="D1084" s="9"/>
      <c r="E1084" s="9"/>
      <c r="F1084" s="9"/>
      <c r="G1084" s="9"/>
      <c r="H1084" s="9"/>
      <c r="I1084" s="9"/>
    </row>
    <row r="1085" customFormat="false" ht="15.75" hidden="false" customHeight="false" outlineLevel="0" collapsed="false">
      <c r="A1085" s="9"/>
      <c r="B1085" s="9"/>
      <c r="C1085" s="9"/>
      <c r="D1085" s="9"/>
      <c r="E1085" s="9"/>
      <c r="F1085" s="9"/>
      <c r="G1085" s="9"/>
      <c r="H1085" s="9"/>
      <c r="I1085" s="9"/>
    </row>
    <row r="1086" customFormat="false" ht="15.75" hidden="false" customHeight="false" outlineLevel="0" collapsed="false">
      <c r="A1086" s="9"/>
      <c r="B1086" s="9"/>
      <c r="C1086" s="9"/>
      <c r="D1086" s="9"/>
      <c r="E1086" s="9"/>
      <c r="F1086" s="9"/>
      <c r="G1086" s="9"/>
      <c r="H1086" s="9"/>
      <c r="I1086" s="9"/>
    </row>
    <row r="1087" customFormat="false" ht="15.75" hidden="false" customHeight="false" outlineLevel="0" collapsed="false">
      <c r="A1087" s="9"/>
      <c r="B1087" s="9"/>
      <c r="C1087" s="9"/>
      <c r="D1087" s="9"/>
      <c r="E1087" s="9"/>
      <c r="F1087" s="9"/>
      <c r="G1087" s="9"/>
      <c r="H1087" s="9"/>
      <c r="I1087" s="9"/>
    </row>
    <row r="1088" customFormat="false" ht="15.75" hidden="false" customHeight="false" outlineLevel="0" collapsed="false">
      <c r="A1088" s="9"/>
      <c r="B1088" s="9"/>
      <c r="C1088" s="9"/>
      <c r="D1088" s="9"/>
      <c r="E1088" s="9"/>
      <c r="F1088" s="9"/>
      <c r="G1088" s="9"/>
      <c r="H1088" s="9"/>
      <c r="I1088" s="9"/>
    </row>
    <row r="1089" customFormat="false" ht="15.75" hidden="false" customHeight="false" outlineLevel="0" collapsed="false">
      <c r="A1089" s="9"/>
      <c r="B1089" s="9"/>
      <c r="C1089" s="9"/>
      <c r="D1089" s="9"/>
      <c r="E1089" s="9"/>
      <c r="F1089" s="9"/>
      <c r="G1089" s="9"/>
      <c r="H1089" s="9"/>
      <c r="I1089" s="9"/>
    </row>
    <row r="1090" customFormat="false" ht="15.75" hidden="false" customHeight="false" outlineLevel="0" collapsed="false">
      <c r="A1090" s="9"/>
      <c r="B1090" s="9"/>
      <c r="C1090" s="9"/>
      <c r="D1090" s="9"/>
      <c r="E1090" s="9"/>
      <c r="F1090" s="9"/>
      <c r="G1090" s="9"/>
      <c r="H1090" s="9"/>
      <c r="I1090" s="9"/>
    </row>
    <row r="1091" customFormat="false" ht="15.75" hidden="false" customHeight="false" outlineLevel="0" collapsed="false">
      <c r="A1091" s="9"/>
      <c r="B1091" s="9"/>
      <c r="C1091" s="9"/>
      <c r="D1091" s="9"/>
      <c r="E1091" s="9"/>
      <c r="F1091" s="9"/>
      <c r="G1091" s="9"/>
      <c r="H1091" s="9"/>
      <c r="I1091" s="9"/>
    </row>
    <row r="1092" customFormat="false" ht="15.75" hidden="false" customHeight="false" outlineLevel="0" collapsed="false">
      <c r="A1092" s="9"/>
      <c r="B1092" s="9"/>
      <c r="C1092" s="9"/>
      <c r="D1092" s="9"/>
      <c r="E1092" s="9"/>
      <c r="F1092" s="9"/>
      <c r="G1092" s="9"/>
      <c r="H1092" s="9"/>
      <c r="I1092" s="9"/>
    </row>
    <row r="1093" customFormat="false" ht="15.75" hidden="false" customHeight="false" outlineLevel="0" collapsed="false">
      <c r="A1093" s="9"/>
      <c r="B1093" s="9"/>
      <c r="C1093" s="9"/>
      <c r="D1093" s="9"/>
      <c r="E1093" s="9"/>
      <c r="F1093" s="9"/>
      <c r="G1093" s="9"/>
      <c r="H1093" s="9"/>
      <c r="I1093" s="9"/>
    </row>
    <row r="1094" customFormat="false" ht="15.75" hidden="false" customHeight="false" outlineLevel="0" collapsed="false">
      <c r="A1094" s="9"/>
      <c r="B1094" s="9"/>
      <c r="C1094" s="9"/>
      <c r="D1094" s="9"/>
      <c r="E1094" s="9"/>
      <c r="F1094" s="9"/>
      <c r="G1094" s="9"/>
      <c r="H1094" s="9"/>
      <c r="I1094" s="9"/>
    </row>
    <row r="1095" customFormat="false" ht="15.75" hidden="false" customHeight="false" outlineLevel="0" collapsed="false">
      <c r="A1095" s="9"/>
      <c r="B1095" s="9"/>
      <c r="C1095" s="9"/>
      <c r="D1095" s="9"/>
      <c r="E1095" s="9"/>
      <c r="F1095" s="9"/>
      <c r="G1095" s="9"/>
      <c r="H1095" s="9"/>
      <c r="I1095" s="9"/>
    </row>
    <row r="1096" customFormat="false" ht="15.75" hidden="false" customHeight="false" outlineLevel="0" collapsed="false">
      <c r="A1096" s="9"/>
      <c r="B1096" s="9"/>
      <c r="C1096" s="9"/>
      <c r="D1096" s="9"/>
      <c r="E1096" s="9"/>
      <c r="F1096" s="9"/>
      <c r="G1096" s="9"/>
      <c r="H1096" s="9"/>
      <c r="I1096" s="9"/>
    </row>
    <row r="1097" customFormat="false" ht="15.75" hidden="false" customHeight="false" outlineLevel="0" collapsed="false">
      <c r="A1097" s="9"/>
      <c r="B1097" s="9"/>
      <c r="C1097" s="9"/>
      <c r="D1097" s="9"/>
      <c r="E1097" s="9"/>
      <c r="F1097" s="9"/>
      <c r="G1097" s="9"/>
      <c r="H1097" s="9"/>
      <c r="I1097" s="9"/>
    </row>
    <row r="1098" customFormat="false" ht="15.75" hidden="false" customHeight="false" outlineLevel="0" collapsed="false">
      <c r="A1098" s="9"/>
      <c r="B1098" s="9"/>
      <c r="C1098" s="9"/>
      <c r="D1098" s="9"/>
      <c r="E1098" s="9"/>
      <c r="F1098" s="9"/>
      <c r="G1098" s="9"/>
      <c r="H1098" s="9"/>
      <c r="I1098" s="9"/>
    </row>
    <row r="1099" customFormat="false" ht="15.75" hidden="false" customHeight="false" outlineLevel="0" collapsed="false">
      <c r="A1099" s="9"/>
      <c r="B1099" s="9"/>
      <c r="C1099" s="9"/>
      <c r="D1099" s="9"/>
      <c r="E1099" s="9"/>
      <c r="F1099" s="9"/>
      <c r="G1099" s="9"/>
      <c r="H1099" s="9"/>
      <c r="I1099" s="9"/>
    </row>
    <row r="1100" customFormat="false" ht="15.75" hidden="false" customHeight="false" outlineLevel="0" collapsed="false">
      <c r="A1100" s="9"/>
      <c r="B1100" s="9"/>
      <c r="C1100" s="9"/>
      <c r="D1100" s="9"/>
      <c r="E1100" s="9"/>
      <c r="F1100" s="9"/>
      <c r="G1100" s="9"/>
      <c r="H1100" s="9"/>
      <c r="I1100" s="9"/>
    </row>
    <row r="1101" customFormat="false" ht="15.75" hidden="false" customHeight="false" outlineLevel="0" collapsed="false">
      <c r="A1101" s="9"/>
      <c r="B1101" s="9"/>
      <c r="C1101" s="9"/>
      <c r="D1101" s="9"/>
      <c r="E1101" s="9"/>
      <c r="F1101" s="9"/>
      <c r="G1101" s="9"/>
      <c r="H1101" s="9"/>
      <c r="I1101" s="9"/>
    </row>
    <row r="1102" customFormat="false" ht="15.75" hidden="false" customHeight="false" outlineLevel="0" collapsed="false">
      <c r="A1102" s="9"/>
      <c r="B1102" s="9"/>
      <c r="C1102" s="9"/>
      <c r="D1102" s="9"/>
      <c r="E1102" s="9"/>
      <c r="F1102" s="9"/>
      <c r="G1102" s="9"/>
      <c r="H1102" s="9"/>
      <c r="I1102" s="9"/>
    </row>
    <row r="1103" customFormat="false" ht="15.75" hidden="false" customHeight="false" outlineLevel="0" collapsed="false">
      <c r="A1103" s="9"/>
      <c r="B1103" s="9"/>
      <c r="C1103" s="9"/>
      <c r="D1103" s="9"/>
      <c r="E1103" s="9"/>
      <c r="F1103" s="9"/>
      <c r="G1103" s="9"/>
      <c r="H1103" s="9"/>
      <c r="I1103" s="9"/>
    </row>
    <row r="1104" customFormat="false" ht="15.75" hidden="false" customHeight="false" outlineLevel="0" collapsed="false">
      <c r="A1104" s="9"/>
      <c r="B1104" s="9"/>
      <c r="C1104" s="9"/>
      <c r="D1104" s="9"/>
      <c r="E1104" s="9"/>
      <c r="F1104" s="9"/>
      <c r="G1104" s="9"/>
      <c r="H1104" s="9"/>
      <c r="I1104" s="9"/>
    </row>
    <row r="1105" customFormat="false" ht="15.75" hidden="false" customHeight="false" outlineLevel="0" collapsed="false">
      <c r="A1105" s="9"/>
      <c r="B1105" s="9"/>
      <c r="C1105" s="9"/>
      <c r="D1105" s="9"/>
      <c r="E1105" s="9"/>
      <c r="F1105" s="9"/>
      <c r="G1105" s="9"/>
      <c r="H1105" s="9"/>
      <c r="I1105" s="9"/>
    </row>
    <row r="1106" customFormat="false" ht="15.75" hidden="false" customHeight="false" outlineLevel="0" collapsed="false">
      <c r="A1106" s="9"/>
      <c r="B1106" s="9"/>
      <c r="C1106" s="9"/>
      <c r="D1106" s="9"/>
      <c r="E1106" s="9"/>
      <c r="F1106" s="9"/>
      <c r="G1106" s="9"/>
      <c r="H1106" s="9"/>
      <c r="I1106" s="9"/>
    </row>
    <row r="1107" customFormat="false" ht="15.75" hidden="false" customHeight="false" outlineLevel="0" collapsed="false">
      <c r="A1107" s="9"/>
      <c r="B1107" s="9"/>
      <c r="C1107" s="9"/>
      <c r="D1107" s="9"/>
      <c r="E1107" s="9"/>
      <c r="F1107" s="9"/>
      <c r="G1107" s="9"/>
      <c r="H1107" s="9"/>
      <c r="I1107" s="9"/>
    </row>
    <row r="1108" customFormat="false" ht="15.75" hidden="false" customHeight="false" outlineLevel="0" collapsed="false">
      <c r="A1108" s="9"/>
      <c r="B1108" s="9"/>
      <c r="C1108" s="9"/>
      <c r="D1108" s="9"/>
      <c r="E1108" s="9"/>
      <c r="F1108" s="9"/>
      <c r="G1108" s="9"/>
      <c r="H1108" s="9"/>
      <c r="I1108" s="9"/>
    </row>
    <row r="1109" customFormat="false" ht="15.75" hidden="false" customHeight="false" outlineLevel="0" collapsed="false">
      <c r="A1109" s="9"/>
      <c r="B1109" s="9"/>
      <c r="C1109" s="9"/>
      <c r="D1109" s="9"/>
      <c r="E1109" s="9"/>
      <c r="F1109" s="9"/>
      <c r="G1109" s="9"/>
      <c r="H1109" s="9"/>
      <c r="I1109" s="9"/>
    </row>
    <row r="1110" customFormat="false" ht="15.75" hidden="false" customHeight="false" outlineLevel="0" collapsed="false">
      <c r="A1110" s="9"/>
      <c r="B1110" s="9"/>
      <c r="C1110" s="9"/>
      <c r="D1110" s="9"/>
      <c r="E1110" s="9"/>
      <c r="F1110" s="9"/>
      <c r="G1110" s="9"/>
      <c r="H1110" s="9"/>
      <c r="I1110" s="9"/>
    </row>
    <row r="1111" customFormat="false" ht="15.75" hidden="false" customHeight="false" outlineLevel="0" collapsed="false">
      <c r="A1111" s="9"/>
      <c r="B1111" s="9"/>
      <c r="C1111" s="9"/>
      <c r="D1111" s="9"/>
      <c r="E1111" s="9"/>
      <c r="F1111" s="9"/>
      <c r="G1111" s="9"/>
      <c r="H1111" s="9"/>
      <c r="I1111" s="9"/>
    </row>
    <row r="1112" customFormat="false" ht="15.75" hidden="false" customHeight="false" outlineLevel="0" collapsed="false">
      <c r="A1112" s="9"/>
      <c r="B1112" s="9"/>
      <c r="C1112" s="9"/>
      <c r="D1112" s="9"/>
      <c r="E1112" s="9"/>
      <c r="F1112" s="9"/>
      <c r="G1112" s="9"/>
      <c r="H1112" s="9"/>
      <c r="I1112" s="9"/>
    </row>
    <row r="1113" customFormat="false" ht="15.75" hidden="false" customHeight="false" outlineLevel="0" collapsed="false">
      <c r="A1113" s="9"/>
      <c r="B1113" s="9"/>
      <c r="C1113" s="9"/>
      <c r="D1113" s="9"/>
      <c r="E1113" s="9"/>
      <c r="F1113" s="9"/>
      <c r="G1113" s="9"/>
      <c r="H1113" s="9"/>
      <c r="I1113" s="9"/>
    </row>
    <row r="1114" customFormat="false" ht="15.75" hidden="false" customHeight="false" outlineLevel="0" collapsed="false">
      <c r="A1114" s="9"/>
      <c r="B1114" s="9"/>
      <c r="C1114" s="9"/>
      <c r="D1114" s="9"/>
      <c r="E1114" s="9"/>
      <c r="F1114" s="9"/>
      <c r="G1114" s="9"/>
      <c r="H1114" s="9"/>
      <c r="I1114" s="9"/>
    </row>
    <row r="1115" customFormat="false" ht="15.75" hidden="false" customHeight="false" outlineLevel="0" collapsed="false">
      <c r="A1115" s="9"/>
      <c r="B1115" s="9"/>
      <c r="C1115" s="9"/>
      <c r="D1115" s="9"/>
      <c r="E1115" s="9"/>
      <c r="F1115" s="9"/>
      <c r="G1115" s="9"/>
      <c r="H1115" s="9"/>
      <c r="I1115" s="9"/>
    </row>
    <row r="1116" customFormat="false" ht="15.75" hidden="false" customHeight="false" outlineLevel="0" collapsed="false">
      <c r="A1116" s="9"/>
      <c r="B1116" s="9"/>
      <c r="C1116" s="9"/>
      <c r="D1116" s="9"/>
      <c r="E1116" s="9"/>
      <c r="F1116" s="9"/>
      <c r="G1116" s="9"/>
      <c r="H1116" s="9"/>
      <c r="I1116" s="9"/>
    </row>
    <row r="1117" customFormat="false" ht="15.75" hidden="false" customHeight="false" outlineLevel="0" collapsed="false">
      <c r="A1117" s="9"/>
      <c r="B1117" s="9"/>
      <c r="C1117" s="9"/>
      <c r="D1117" s="9"/>
      <c r="E1117" s="9"/>
      <c r="F1117" s="9"/>
      <c r="G1117" s="9"/>
      <c r="H1117" s="9"/>
      <c r="I1117" s="9"/>
    </row>
    <row r="1118" customFormat="false" ht="15.75" hidden="false" customHeight="false" outlineLevel="0" collapsed="false">
      <c r="A1118" s="9"/>
      <c r="B1118" s="9"/>
      <c r="C1118" s="9"/>
      <c r="D1118" s="9"/>
      <c r="E1118" s="9"/>
      <c r="F1118" s="9"/>
      <c r="G1118" s="9"/>
      <c r="H1118" s="9"/>
      <c r="I1118" s="9"/>
    </row>
    <row r="1119" customFormat="false" ht="15.75" hidden="false" customHeight="false" outlineLevel="0" collapsed="false">
      <c r="A1119" s="9"/>
      <c r="B1119" s="9"/>
      <c r="C1119" s="9"/>
      <c r="D1119" s="9"/>
      <c r="E1119" s="9"/>
      <c r="F1119" s="9"/>
      <c r="G1119" s="9"/>
      <c r="H1119" s="9"/>
      <c r="I1119" s="9"/>
    </row>
    <row r="1120" customFormat="false" ht="15.75" hidden="false" customHeight="false" outlineLevel="0" collapsed="false">
      <c r="A1120" s="9"/>
      <c r="B1120" s="9"/>
      <c r="C1120" s="9"/>
      <c r="D1120" s="9"/>
      <c r="E1120" s="9"/>
      <c r="F1120" s="9"/>
      <c r="G1120" s="9"/>
      <c r="H1120" s="9"/>
      <c r="I1120" s="9"/>
    </row>
    <row r="1121" customFormat="false" ht="15.75" hidden="false" customHeight="false" outlineLevel="0" collapsed="false">
      <c r="A1121" s="9"/>
      <c r="B1121" s="9"/>
      <c r="C1121" s="9"/>
      <c r="D1121" s="9"/>
      <c r="E1121" s="9"/>
      <c r="F1121" s="9"/>
      <c r="G1121" s="9"/>
      <c r="H1121" s="9"/>
      <c r="I1121" s="9"/>
    </row>
    <row r="1122" customFormat="false" ht="15.75" hidden="false" customHeight="false" outlineLevel="0" collapsed="false">
      <c r="A1122" s="9"/>
      <c r="B1122" s="9"/>
      <c r="C1122" s="9"/>
      <c r="D1122" s="9"/>
      <c r="E1122" s="9"/>
      <c r="F1122" s="9"/>
      <c r="G1122" s="9"/>
      <c r="H1122" s="9"/>
      <c r="I1122" s="9"/>
    </row>
    <row r="1123" customFormat="false" ht="15.75" hidden="false" customHeight="false" outlineLevel="0" collapsed="false">
      <c r="A1123" s="9"/>
      <c r="B1123" s="9"/>
      <c r="C1123" s="9"/>
      <c r="D1123" s="9"/>
      <c r="E1123" s="9"/>
      <c r="F1123" s="9"/>
      <c r="G1123" s="9"/>
      <c r="H1123" s="9"/>
      <c r="I1123" s="9"/>
    </row>
    <row r="1124" customFormat="false" ht="15.75" hidden="false" customHeight="false" outlineLevel="0" collapsed="false">
      <c r="A1124" s="9"/>
      <c r="B1124" s="9"/>
      <c r="C1124" s="9"/>
      <c r="D1124" s="9"/>
      <c r="E1124" s="9"/>
      <c r="F1124" s="9"/>
      <c r="G1124" s="9"/>
      <c r="H1124" s="9"/>
      <c r="I1124" s="9"/>
    </row>
    <row r="1125" customFormat="false" ht="15.75" hidden="false" customHeight="false" outlineLevel="0" collapsed="false">
      <c r="A1125" s="9"/>
      <c r="B1125" s="9"/>
      <c r="C1125" s="9"/>
      <c r="D1125" s="9"/>
      <c r="E1125" s="9"/>
      <c r="F1125" s="9"/>
      <c r="G1125" s="9"/>
      <c r="H1125" s="9"/>
      <c r="I1125" s="9"/>
    </row>
    <row r="1126" customFormat="false" ht="15.75" hidden="false" customHeight="false" outlineLevel="0" collapsed="false">
      <c r="A1126" s="9"/>
      <c r="B1126" s="9"/>
      <c r="C1126" s="9"/>
      <c r="D1126" s="9"/>
      <c r="E1126" s="9"/>
      <c r="F1126" s="9"/>
      <c r="G1126" s="9"/>
      <c r="H1126" s="9"/>
      <c r="I1126" s="9"/>
    </row>
    <row r="1127" customFormat="false" ht="15.75" hidden="false" customHeight="false" outlineLevel="0" collapsed="false">
      <c r="A1127" s="9"/>
      <c r="B1127" s="9"/>
      <c r="C1127" s="9"/>
      <c r="D1127" s="9"/>
      <c r="E1127" s="9"/>
      <c r="F1127" s="9"/>
      <c r="G1127" s="9"/>
      <c r="H1127" s="9"/>
      <c r="I1127" s="9"/>
    </row>
    <row r="1128" customFormat="false" ht="15.75" hidden="false" customHeight="false" outlineLevel="0" collapsed="false">
      <c r="A1128" s="9"/>
      <c r="B1128" s="9"/>
      <c r="C1128" s="9"/>
      <c r="D1128" s="9"/>
      <c r="E1128" s="9"/>
      <c r="F1128" s="9"/>
      <c r="G1128" s="9"/>
      <c r="H1128" s="9"/>
      <c r="I1128" s="9"/>
    </row>
    <row r="1129" customFormat="false" ht="15.75" hidden="false" customHeight="false" outlineLevel="0" collapsed="false">
      <c r="A1129" s="9"/>
      <c r="B1129" s="9"/>
      <c r="C1129" s="9"/>
      <c r="D1129" s="9"/>
      <c r="E1129" s="9"/>
      <c r="F1129" s="9"/>
      <c r="G1129" s="9"/>
      <c r="H1129" s="9"/>
      <c r="I1129" s="9"/>
    </row>
    <row r="1130" customFormat="false" ht="15.75" hidden="false" customHeight="false" outlineLevel="0" collapsed="false">
      <c r="A1130" s="9"/>
      <c r="B1130" s="9"/>
      <c r="C1130" s="9"/>
      <c r="D1130" s="9"/>
      <c r="E1130" s="9"/>
      <c r="F1130" s="9"/>
      <c r="G1130" s="9"/>
      <c r="H1130" s="9"/>
      <c r="I1130" s="9"/>
    </row>
    <row r="1131" customFormat="false" ht="15.75" hidden="false" customHeight="false" outlineLevel="0" collapsed="false">
      <c r="A1131" s="9"/>
      <c r="B1131" s="9"/>
      <c r="C1131" s="9"/>
      <c r="D1131" s="9"/>
      <c r="E1131" s="9"/>
      <c r="F1131" s="9"/>
      <c r="G1131" s="9"/>
      <c r="H1131" s="9"/>
      <c r="I1131" s="9"/>
    </row>
    <row r="1132" customFormat="false" ht="15.75" hidden="false" customHeight="false" outlineLevel="0" collapsed="false">
      <c r="A1132" s="9"/>
      <c r="B1132" s="9"/>
      <c r="C1132" s="9"/>
      <c r="D1132" s="9"/>
      <c r="E1132" s="9"/>
      <c r="F1132" s="9"/>
      <c r="G1132" s="9"/>
      <c r="H1132" s="9"/>
      <c r="I1132" s="9"/>
    </row>
    <row r="1133" customFormat="false" ht="15.75" hidden="false" customHeight="false" outlineLevel="0" collapsed="false">
      <c r="A1133" s="9"/>
      <c r="B1133" s="9"/>
      <c r="C1133" s="9"/>
      <c r="D1133" s="9"/>
      <c r="E1133" s="9"/>
      <c r="F1133" s="9"/>
      <c r="G1133" s="9"/>
      <c r="H1133" s="9"/>
      <c r="I1133" s="9"/>
    </row>
    <row r="1134" customFormat="false" ht="15.75" hidden="false" customHeight="false" outlineLevel="0" collapsed="false">
      <c r="A1134" s="9"/>
      <c r="B1134" s="9"/>
      <c r="C1134" s="9"/>
      <c r="D1134" s="9"/>
      <c r="E1134" s="9"/>
      <c r="F1134" s="9"/>
      <c r="G1134" s="9"/>
      <c r="H1134" s="9"/>
      <c r="I1134" s="9"/>
    </row>
    <row r="1135" customFormat="false" ht="15.75" hidden="false" customHeight="false" outlineLevel="0" collapsed="false">
      <c r="A1135" s="9"/>
      <c r="B1135" s="9"/>
      <c r="C1135" s="9"/>
      <c r="D1135" s="9"/>
      <c r="E1135" s="9"/>
      <c r="F1135" s="9"/>
      <c r="G1135" s="9"/>
      <c r="H1135" s="9"/>
      <c r="I1135" s="9"/>
    </row>
    <row r="1136" customFormat="false" ht="15.75" hidden="false" customHeight="false" outlineLevel="0" collapsed="false">
      <c r="A1136" s="9"/>
      <c r="B1136" s="9"/>
      <c r="C1136" s="9"/>
      <c r="D1136" s="9"/>
      <c r="E1136" s="9"/>
      <c r="F1136" s="9"/>
      <c r="G1136" s="9"/>
      <c r="H1136" s="9"/>
      <c r="I1136" s="9"/>
    </row>
    <row r="1137" customFormat="false" ht="15.75" hidden="false" customHeight="false" outlineLevel="0" collapsed="false">
      <c r="A1137" s="9"/>
      <c r="B1137" s="9"/>
      <c r="C1137" s="9"/>
      <c r="D1137" s="9"/>
      <c r="E1137" s="9"/>
      <c r="F1137" s="9"/>
      <c r="G1137" s="9"/>
      <c r="H1137" s="9"/>
      <c r="I1137" s="9"/>
    </row>
    <row r="1138" customFormat="false" ht="15.75" hidden="false" customHeight="false" outlineLevel="0" collapsed="false">
      <c r="A1138" s="9"/>
      <c r="B1138" s="9"/>
      <c r="C1138" s="9"/>
      <c r="D1138" s="9"/>
      <c r="E1138" s="9"/>
      <c r="F1138" s="9"/>
      <c r="G1138" s="9"/>
      <c r="H1138" s="9"/>
      <c r="I1138" s="9"/>
    </row>
    <row r="1139" customFormat="false" ht="15.75" hidden="false" customHeight="false" outlineLevel="0" collapsed="false">
      <c r="A1139" s="9"/>
      <c r="B1139" s="9"/>
      <c r="C1139" s="9"/>
      <c r="D1139" s="9"/>
      <c r="E1139" s="9"/>
      <c r="F1139" s="9"/>
      <c r="G1139" s="9"/>
      <c r="H1139" s="9"/>
      <c r="I1139" s="9"/>
    </row>
    <row r="1140" customFormat="false" ht="15.75" hidden="false" customHeight="false" outlineLevel="0" collapsed="false">
      <c r="A1140" s="9"/>
      <c r="B1140" s="9"/>
      <c r="C1140" s="9"/>
      <c r="D1140" s="9"/>
      <c r="E1140" s="9"/>
      <c r="F1140" s="9"/>
      <c r="G1140" s="9"/>
      <c r="H1140" s="9"/>
      <c r="I1140" s="9"/>
    </row>
    <row r="1141" customFormat="false" ht="15.75" hidden="false" customHeight="false" outlineLevel="0" collapsed="false">
      <c r="A1141" s="9"/>
      <c r="B1141" s="9"/>
      <c r="C1141" s="9"/>
      <c r="D1141" s="9"/>
      <c r="E1141" s="9"/>
      <c r="F1141" s="9"/>
      <c r="G1141" s="9"/>
      <c r="H1141" s="9"/>
      <c r="I1141" s="9"/>
    </row>
    <row r="1142" customFormat="false" ht="15.75" hidden="false" customHeight="false" outlineLevel="0" collapsed="false">
      <c r="A1142" s="9"/>
      <c r="B1142" s="9"/>
      <c r="C1142" s="9"/>
      <c r="D1142" s="9"/>
      <c r="E1142" s="9"/>
      <c r="F1142" s="9"/>
      <c r="G1142" s="9"/>
      <c r="H1142" s="9"/>
      <c r="I1142" s="9"/>
    </row>
    <row r="1143" customFormat="false" ht="15.75" hidden="false" customHeight="false" outlineLevel="0" collapsed="false">
      <c r="A1143" s="9"/>
      <c r="B1143" s="9"/>
      <c r="C1143" s="9"/>
      <c r="D1143" s="9"/>
      <c r="E1143" s="9"/>
      <c r="F1143" s="9"/>
      <c r="G1143" s="9"/>
      <c r="H1143" s="9"/>
      <c r="I1143" s="9"/>
    </row>
    <row r="1144" customFormat="false" ht="15.75" hidden="false" customHeight="false" outlineLevel="0" collapsed="false">
      <c r="A1144" s="9"/>
      <c r="B1144" s="9"/>
      <c r="C1144" s="9"/>
      <c r="D1144" s="9"/>
      <c r="E1144" s="9"/>
      <c r="F1144" s="9"/>
      <c r="G1144" s="9"/>
      <c r="H1144" s="9"/>
      <c r="I1144" s="9"/>
    </row>
    <row r="1145" customFormat="false" ht="15.75" hidden="false" customHeight="false" outlineLevel="0" collapsed="false">
      <c r="A1145" s="9"/>
      <c r="B1145" s="9"/>
      <c r="C1145" s="9"/>
      <c r="D1145" s="9"/>
      <c r="E1145" s="9"/>
      <c r="F1145" s="9"/>
      <c r="G1145" s="9"/>
      <c r="H1145" s="9"/>
      <c r="I1145" s="9"/>
    </row>
    <row r="1146" customFormat="false" ht="15.75" hidden="false" customHeight="false" outlineLevel="0" collapsed="false">
      <c r="A1146" s="9"/>
      <c r="B1146" s="9"/>
      <c r="C1146" s="9"/>
      <c r="D1146" s="9"/>
      <c r="E1146" s="9"/>
      <c r="F1146" s="9"/>
      <c r="G1146" s="9"/>
      <c r="H1146" s="9"/>
      <c r="I1146" s="9"/>
    </row>
    <row r="1147" customFormat="false" ht="15.75" hidden="false" customHeight="false" outlineLevel="0" collapsed="false">
      <c r="A1147" s="9"/>
      <c r="B1147" s="9"/>
      <c r="C1147" s="9"/>
      <c r="D1147" s="9"/>
      <c r="E1147" s="9"/>
      <c r="F1147" s="9"/>
      <c r="G1147" s="9"/>
      <c r="H1147" s="9"/>
      <c r="I1147" s="9"/>
    </row>
    <row r="1148" customFormat="false" ht="15.75" hidden="false" customHeight="false" outlineLevel="0" collapsed="false">
      <c r="A1148" s="9"/>
      <c r="B1148" s="9"/>
      <c r="C1148" s="9"/>
      <c r="D1148" s="9"/>
      <c r="E1148" s="9"/>
      <c r="F1148" s="9"/>
      <c r="G1148" s="9"/>
      <c r="H1148" s="9"/>
      <c r="I1148" s="9"/>
    </row>
    <row r="1149" customFormat="false" ht="15.75" hidden="false" customHeight="false" outlineLevel="0" collapsed="false">
      <c r="A1149" s="9"/>
      <c r="B1149" s="9"/>
      <c r="C1149" s="9"/>
      <c r="D1149" s="9"/>
      <c r="E1149" s="9"/>
      <c r="F1149" s="9"/>
      <c r="G1149" s="9"/>
      <c r="H1149" s="9"/>
      <c r="I1149" s="9"/>
    </row>
    <row r="1150" customFormat="false" ht="15.75" hidden="false" customHeight="false" outlineLevel="0" collapsed="false">
      <c r="A1150" s="9"/>
      <c r="B1150" s="9"/>
      <c r="C1150" s="9"/>
      <c r="D1150" s="9"/>
      <c r="E1150" s="9"/>
      <c r="F1150" s="9"/>
      <c r="G1150" s="9"/>
      <c r="H1150" s="9"/>
      <c r="I1150" s="9"/>
    </row>
    <row r="1151" customFormat="false" ht="15.75" hidden="false" customHeight="false" outlineLevel="0" collapsed="false">
      <c r="A1151" s="9"/>
      <c r="B1151" s="9"/>
      <c r="C1151" s="9"/>
      <c r="D1151" s="9"/>
      <c r="E1151" s="9"/>
      <c r="F1151" s="9"/>
      <c r="G1151" s="9"/>
      <c r="H1151" s="9"/>
      <c r="I1151" s="9"/>
    </row>
    <row r="1152" customFormat="false" ht="15.75" hidden="false" customHeight="false" outlineLevel="0" collapsed="false">
      <c r="A1152" s="9"/>
      <c r="B1152" s="9"/>
      <c r="C1152" s="9"/>
      <c r="D1152" s="9"/>
      <c r="E1152" s="9"/>
      <c r="F1152" s="9"/>
      <c r="G1152" s="9"/>
      <c r="H1152" s="9"/>
      <c r="I1152" s="9"/>
    </row>
    <row r="1153" customFormat="false" ht="15.75" hidden="false" customHeight="false" outlineLevel="0" collapsed="false">
      <c r="A1153" s="9"/>
      <c r="B1153" s="9"/>
      <c r="C1153" s="9"/>
      <c r="D1153" s="9"/>
      <c r="E1153" s="9"/>
      <c r="F1153" s="9"/>
      <c r="G1153" s="9"/>
      <c r="H1153" s="9"/>
      <c r="I1153" s="9"/>
    </row>
    <row r="1154" customFormat="false" ht="15.75" hidden="false" customHeight="false" outlineLevel="0" collapsed="false">
      <c r="A1154" s="9"/>
      <c r="B1154" s="9"/>
      <c r="C1154" s="9"/>
      <c r="D1154" s="9"/>
      <c r="E1154" s="9"/>
      <c r="F1154" s="9"/>
      <c r="G1154" s="9"/>
      <c r="H1154" s="9"/>
      <c r="I1154" s="9"/>
    </row>
    <row r="1155" customFormat="false" ht="15.75" hidden="false" customHeight="false" outlineLevel="0" collapsed="false">
      <c r="A1155" s="9"/>
      <c r="B1155" s="9"/>
      <c r="C1155" s="9"/>
      <c r="D1155" s="9"/>
      <c r="E1155" s="9"/>
      <c r="F1155" s="9"/>
      <c r="G1155" s="9"/>
      <c r="H1155" s="9"/>
      <c r="I1155" s="9"/>
    </row>
    <row r="1156" customFormat="false" ht="15.75" hidden="false" customHeight="false" outlineLevel="0" collapsed="false">
      <c r="A1156" s="9"/>
      <c r="B1156" s="9"/>
      <c r="C1156" s="9"/>
      <c r="D1156" s="9"/>
      <c r="E1156" s="9"/>
      <c r="F1156" s="9"/>
      <c r="G1156" s="9"/>
      <c r="H1156" s="9"/>
      <c r="I1156" s="9"/>
    </row>
    <row r="1157" customFormat="false" ht="15.75" hidden="false" customHeight="false" outlineLevel="0" collapsed="false">
      <c r="A1157" s="9"/>
      <c r="B1157" s="9"/>
      <c r="C1157" s="9"/>
      <c r="D1157" s="9"/>
      <c r="E1157" s="9"/>
      <c r="F1157" s="9"/>
      <c r="G1157" s="9"/>
      <c r="H1157" s="9"/>
      <c r="I1157" s="9"/>
    </row>
    <row r="1158" customFormat="false" ht="15.75" hidden="false" customHeight="false" outlineLevel="0" collapsed="false">
      <c r="A1158" s="9"/>
      <c r="B1158" s="9"/>
      <c r="C1158" s="9"/>
      <c r="D1158" s="9"/>
      <c r="E1158" s="9"/>
      <c r="F1158" s="9"/>
      <c r="G1158" s="9"/>
      <c r="H1158" s="9"/>
      <c r="I1158" s="9"/>
    </row>
    <row r="1159" customFormat="false" ht="15.75" hidden="false" customHeight="false" outlineLevel="0" collapsed="false">
      <c r="A1159" s="9"/>
      <c r="B1159" s="9"/>
      <c r="C1159" s="9"/>
      <c r="D1159" s="9"/>
      <c r="E1159" s="9"/>
      <c r="F1159" s="9"/>
      <c r="G1159" s="9"/>
      <c r="H1159" s="9"/>
      <c r="I1159" s="9"/>
    </row>
    <row r="1160" customFormat="false" ht="15.75" hidden="false" customHeight="false" outlineLevel="0" collapsed="false">
      <c r="A1160" s="9"/>
      <c r="B1160" s="9"/>
      <c r="C1160" s="9"/>
      <c r="D1160" s="9"/>
      <c r="E1160" s="9"/>
      <c r="F1160" s="9"/>
      <c r="G1160" s="9"/>
      <c r="H1160" s="9"/>
      <c r="I1160" s="9"/>
    </row>
    <row r="1161" customFormat="false" ht="15.75" hidden="false" customHeight="false" outlineLevel="0" collapsed="false">
      <c r="A1161" s="9"/>
      <c r="B1161" s="9"/>
      <c r="C1161" s="9"/>
      <c r="D1161" s="9"/>
      <c r="E1161" s="9"/>
      <c r="F1161" s="9"/>
      <c r="G1161" s="9"/>
      <c r="H1161" s="9"/>
      <c r="I1161" s="9"/>
    </row>
    <row r="1162" customFormat="false" ht="15.75" hidden="false" customHeight="false" outlineLevel="0" collapsed="false">
      <c r="A1162" s="9"/>
      <c r="B1162" s="9"/>
      <c r="C1162" s="9"/>
      <c r="D1162" s="9"/>
      <c r="E1162" s="9"/>
      <c r="F1162" s="9"/>
      <c r="G1162" s="9"/>
      <c r="H1162" s="9"/>
      <c r="I1162" s="9"/>
    </row>
    <row r="1163" customFormat="false" ht="15.75" hidden="false" customHeight="false" outlineLevel="0" collapsed="false">
      <c r="A1163" s="9"/>
      <c r="B1163" s="9"/>
      <c r="C1163" s="9"/>
      <c r="D1163" s="9"/>
      <c r="E1163" s="9"/>
      <c r="F1163" s="9"/>
      <c r="G1163" s="9"/>
      <c r="H1163" s="9"/>
      <c r="I1163" s="9"/>
    </row>
    <row r="1164" customFormat="false" ht="15.75" hidden="false" customHeight="false" outlineLevel="0" collapsed="false">
      <c r="A1164" s="9"/>
      <c r="B1164" s="9"/>
      <c r="C1164" s="9"/>
      <c r="D1164" s="9"/>
      <c r="E1164" s="9"/>
      <c r="F1164" s="9"/>
      <c r="G1164" s="9"/>
      <c r="H1164" s="9"/>
      <c r="I1164" s="9"/>
    </row>
    <row r="1165" customFormat="false" ht="15.75" hidden="false" customHeight="false" outlineLevel="0" collapsed="false">
      <c r="A1165" s="9"/>
      <c r="B1165" s="9"/>
      <c r="C1165" s="9"/>
      <c r="D1165" s="9"/>
      <c r="E1165" s="9"/>
      <c r="F1165" s="9"/>
      <c r="G1165" s="9"/>
      <c r="H1165" s="9"/>
      <c r="I1165" s="9"/>
    </row>
    <row r="1166" customFormat="false" ht="15.75" hidden="false" customHeight="false" outlineLevel="0" collapsed="false">
      <c r="A1166" s="9"/>
      <c r="B1166" s="9"/>
      <c r="C1166" s="9"/>
      <c r="D1166" s="9"/>
      <c r="E1166" s="9"/>
      <c r="F1166" s="9"/>
      <c r="G1166" s="9"/>
      <c r="H1166" s="9"/>
      <c r="I1166" s="9"/>
    </row>
    <row r="1167" customFormat="false" ht="15.75" hidden="false" customHeight="false" outlineLevel="0" collapsed="false">
      <c r="A1167" s="9"/>
      <c r="B1167" s="9"/>
      <c r="C1167" s="9"/>
      <c r="D1167" s="9"/>
      <c r="E1167" s="9"/>
      <c r="F1167" s="9"/>
      <c r="G1167" s="9"/>
      <c r="H1167" s="9"/>
      <c r="I1167" s="9"/>
    </row>
    <row r="1168" customFormat="false" ht="15.75" hidden="false" customHeight="false" outlineLevel="0" collapsed="false">
      <c r="A1168" s="9"/>
      <c r="B1168" s="9"/>
      <c r="C1168" s="9"/>
      <c r="D1168" s="9"/>
      <c r="E1168" s="9"/>
      <c r="F1168" s="9"/>
      <c r="G1168" s="9"/>
      <c r="H1168" s="9"/>
      <c r="I1168" s="9"/>
    </row>
    <row r="1169" customFormat="false" ht="15.75" hidden="false" customHeight="false" outlineLevel="0" collapsed="false">
      <c r="A1169" s="9"/>
      <c r="B1169" s="9"/>
      <c r="C1169" s="9"/>
      <c r="D1169" s="9"/>
      <c r="E1169" s="9"/>
      <c r="F1169" s="9"/>
      <c r="G1169" s="9"/>
      <c r="H1169" s="9"/>
      <c r="I1169" s="9"/>
    </row>
    <row r="1170" customFormat="false" ht="15.75" hidden="false" customHeight="false" outlineLevel="0" collapsed="false">
      <c r="A1170" s="9"/>
      <c r="B1170" s="9"/>
      <c r="C1170" s="9"/>
      <c r="D1170" s="9"/>
      <c r="E1170" s="9"/>
      <c r="F1170" s="9"/>
      <c r="G1170" s="9"/>
      <c r="H1170" s="9"/>
      <c r="I1170" s="9"/>
    </row>
    <row r="1171" customFormat="false" ht="15.75" hidden="false" customHeight="false" outlineLevel="0" collapsed="false">
      <c r="A1171" s="9"/>
      <c r="B1171" s="9"/>
      <c r="C1171" s="9"/>
      <c r="D1171" s="9"/>
      <c r="E1171" s="9"/>
      <c r="F1171" s="9"/>
      <c r="G1171" s="9"/>
      <c r="H1171" s="9"/>
      <c r="I1171" s="9"/>
    </row>
    <row r="1172" customFormat="false" ht="15.75" hidden="false" customHeight="false" outlineLevel="0" collapsed="false">
      <c r="A1172" s="9"/>
      <c r="B1172" s="9"/>
      <c r="C1172" s="9"/>
      <c r="D1172" s="9"/>
      <c r="E1172" s="9"/>
      <c r="F1172" s="9"/>
      <c r="G1172" s="9"/>
      <c r="H1172" s="9"/>
      <c r="I1172" s="9"/>
    </row>
    <row r="1173" customFormat="false" ht="15.75" hidden="false" customHeight="false" outlineLevel="0" collapsed="false">
      <c r="A1173" s="9"/>
      <c r="B1173" s="9"/>
      <c r="C1173" s="9"/>
      <c r="D1173" s="9"/>
      <c r="E1173" s="9"/>
      <c r="F1173" s="9"/>
      <c r="G1173" s="9"/>
      <c r="H1173" s="9"/>
      <c r="I1173" s="9"/>
    </row>
    <row r="1174" customFormat="false" ht="15.75" hidden="false" customHeight="false" outlineLevel="0" collapsed="false">
      <c r="A1174" s="9"/>
      <c r="B1174" s="9"/>
      <c r="C1174" s="9"/>
      <c r="D1174" s="9"/>
      <c r="E1174" s="9"/>
      <c r="F1174" s="9"/>
      <c r="G1174" s="9"/>
      <c r="H1174" s="9"/>
      <c r="I1174" s="9"/>
    </row>
    <row r="1175" customFormat="false" ht="15.75" hidden="false" customHeight="false" outlineLevel="0" collapsed="false">
      <c r="A1175" s="9"/>
      <c r="B1175" s="9"/>
      <c r="C1175" s="9"/>
      <c r="D1175" s="9"/>
      <c r="E1175" s="9"/>
      <c r="F1175" s="9"/>
      <c r="G1175" s="9"/>
      <c r="H1175" s="9"/>
      <c r="I1175" s="9"/>
    </row>
    <row r="1176" customFormat="false" ht="15.75" hidden="false" customHeight="false" outlineLevel="0" collapsed="false">
      <c r="A1176" s="9"/>
      <c r="B1176" s="9"/>
      <c r="C1176" s="9"/>
      <c r="D1176" s="9"/>
      <c r="E1176" s="9"/>
      <c r="F1176" s="9"/>
      <c r="G1176" s="9"/>
      <c r="H1176" s="9"/>
      <c r="I1176" s="9"/>
    </row>
    <row r="1177" customFormat="false" ht="15.75" hidden="false" customHeight="false" outlineLevel="0" collapsed="false">
      <c r="A1177" s="9"/>
      <c r="B1177" s="9"/>
      <c r="C1177" s="9"/>
      <c r="D1177" s="9"/>
      <c r="E1177" s="9"/>
      <c r="F1177" s="9"/>
      <c r="G1177" s="9"/>
      <c r="H1177" s="9"/>
      <c r="I1177" s="9"/>
    </row>
    <row r="1178" customFormat="false" ht="15.75" hidden="false" customHeight="false" outlineLevel="0" collapsed="false">
      <c r="A1178" s="9"/>
      <c r="B1178" s="9"/>
      <c r="C1178" s="9"/>
      <c r="D1178" s="9"/>
      <c r="E1178" s="9"/>
      <c r="F1178" s="9"/>
      <c r="G1178" s="9"/>
      <c r="H1178" s="9"/>
      <c r="I1178" s="9"/>
    </row>
    <row r="1179" customFormat="false" ht="15.75" hidden="false" customHeight="false" outlineLevel="0" collapsed="false">
      <c r="A1179" s="9"/>
      <c r="B1179" s="9"/>
      <c r="C1179" s="9"/>
      <c r="D1179" s="9"/>
      <c r="E1179" s="9"/>
      <c r="F1179" s="9"/>
      <c r="G1179" s="9"/>
      <c r="H1179" s="9"/>
      <c r="I1179" s="9"/>
    </row>
    <row r="1180" customFormat="false" ht="15.75" hidden="false" customHeight="false" outlineLevel="0" collapsed="false">
      <c r="A1180" s="9"/>
      <c r="B1180" s="9"/>
      <c r="C1180" s="9"/>
      <c r="D1180" s="9"/>
      <c r="E1180" s="9"/>
      <c r="F1180" s="9"/>
      <c r="G1180" s="9"/>
      <c r="H1180" s="9"/>
      <c r="I1180" s="9"/>
    </row>
    <row r="1181" customFormat="false" ht="15.75" hidden="false" customHeight="false" outlineLevel="0" collapsed="false">
      <c r="A1181" s="9"/>
      <c r="B1181" s="9"/>
      <c r="C1181" s="9"/>
      <c r="D1181" s="9"/>
      <c r="E1181" s="9"/>
      <c r="F1181" s="9"/>
      <c r="G1181" s="9"/>
      <c r="H1181" s="9"/>
      <c r="I1181" s="9"/>
    </row>
    <row r="1182" customFormat="false" ht="15.75" hidden="false" customHeight="false" outlineLevel="0" collapsed="false">
      <c r="A1182" s="9"/>
      <c r="B1182" s="9"/>
      <c r="C1182" s="9"/>
      <c r="D1182" s="9"/>
      <c r="E1182" s="9"/>
      <c r="F1182" s="9"/>
      <c r="G1182" s="9"/>
      <c r="H1182" s="9"/>
      <c r="I1182" s="9"/>
    </row>
    <row r="1183" customFormat="false" ht="15.75" hidden="false" customHeight="false" outlineLevel="0" collapsed="false">
      <c r="A1183" s="9"/>
      <c r="B1183" s="9"/>
      <c r="C1183" s="9"/>
      <c r="D1183" s="9"/>
      <c r="E1183" s="9"/>
      <c r="F1183" s="9"/>
      <c r="G1183" s="9"/>
      <c r="H1183" s="9"/>
      <c r="I1183" s="9"/>
    </row>
    <row r="1184" customFormat="false" ht="15.75" hidden="false" customHeight="false" outlineLevel="0" collapsed="false">
      <c r="A1184" s="9"/>
      <c r="B1184" s="9"/>
      <c r="C1184" s="9"/>
      <c r="D1184" s="9"/>
      <c r="E1184" s="9"/>
      <c r="F1184" s="9"/>
      <c r="G1184" s="9"/>
      <c r="H1184" s="9"/>
      <c r="I1184" s="9"/>
    </row>
    <row r="1185" customFormat="false" ht="15.75" hidden="false" customHeight="false" outlineLevel="0" collapsed="false">
      <c r="A1185" s="9"/>
      <c r="B1185" s="9"/>
      <c r="C1185" s="9"/>
      <c r="D1185" s="9"/>
      <c r="E1185" s="9"/>
      <c r="F1185" s="9"/>
      <c r="G1185" s="9"/>
      <c r="H1185" s="9"/>
      <c r="I1185" s="9"/>
    </row>
    <row r="1186" customFormat="false" ht="15.75" hidden="false" customHeight="false" outlineLevel="0" collapsed="false">
      <c r="A1186" s="9"/>
      <c r="B1186" s="9"/>
      <c r="C1186" s="9"/>
      <c r="D1186" s="9"/>
      <c r="E1186" s="9"/>
      <c r="F1186" s="9"/>
      <c r="G1186" s="9"/>
      <c r="H1186" s="9"/>
      <c r="I1186" s="9"/>
    </row>
    <row r="1187" customFormat="false" ht="15.75" hidden="false" customHeight="false" outlineLevel="0" collapsed="false">
      <c r="A1187" s="9"/>
      <c r="B1187" s="9"/>
      <c r="C1187" s="9"/>
      <c r="D1187" s="9"/>
      <c r="E1187" s="9"/>
      <c r="F1187" s="9"/>
      <c r="G1187" s="9"/>
      <c r="H1187" s="9"/>
      <c r="I1187" s="9"/>
    </row>
    <row r="1188" customFormat="false" ht="15.75" hidden="false" customHeight="false" outlineLevel="0" collapsed="false">
      <c r="A1188" s="9"/>
      <c r="B1188" s="9"/>
      <c r="C1188" s="9"/>
      <c r="D1188" s="9"/>
      <c r="E1188" s="9"/>
      <c r="F1188" s="9"/>
      <c r="G1188" s="9"/>
      <c r="H1188" s="9"/>
      <c r="I1188" s="9"/>
    </row>
    <row r="1189" customFormat="false" ht="15.75" hidden="false" customHeight="false" outlineLevel="0" collapsed="false">
      <c r="A1189" s="9"/>
      <c r="B1189" s="9"/>
      <c r="C1189" s="9"/>
      <c r="D1189" s="9"/>
      <c r="E1189" s="9"/>
      <c r="F1189" s="9"/>
      <c r="G1189" s="9"/>
      <c r="H1189" s="9"/>
      <c r="I1189" s="9"/>
    </row>
    <row r="1190" customFormat="false" ht="15.75" hidden="false" customHeight="false" outlineLevel="0" collapsed="false">
      <c r="A1190" s="9"/>
      <c r="B1190" s="9"/>
      <c r="C1190" s="9"/>
      <c r="D1190" s="9"/>
      <c r="E1190" s="9"/>
      <c r="F1190" s="9"/>
      <c r="G1190" s="9"/>
      <c r="H1190" s="9"/>
      <c r="I1190" s="9"/>
    </row>
    <row r="1191" customFormat="false" ht="15.75" hidden="false" customHeight="false" outlineLevel="0" collapsed="false">
      <c r="A1191" s="9"/>
      <c r="B1191" s="9"/>
      <c r="C1191" s="9"/>
      <c r="D1191" s="9"/>
      <c r="E1191" s="9"/>
      <c r="F1191" s="9"/>
      <c r="G1191" s="9"/>
      <c r="H1191" s="9"/>
      <c r="I1191" s="9"/>
    </row>
    <row r="1192" customFormat="false" ht="15.75" hidden="false" customHeight="false" outlineLevel="0" collapsed="false">
      <c r="A1192" s="9"/>
      <c r="B1192" s="9"/>
      <c r="C1192" s="9"/>
      <c r="D1192" s="9"/>
      <c r="E1192" s="9"/>
      <c r="F1192" s="9"/>
      <c r="G1192" s="9"/>
      <c r="H1192" s="9"/>
      <c r="I1192" s="9"/>
    </row>
    <row r="1193" customFormat="false" ht="15.75" hidden="false" customHeight="false" outlineLevel="0" collapsed="false">
      <c r="A1193" s="9"/>
      <c r="B1193" s="9"/>
      <c r="C1193" s="9"/>
      <c r="D1193" s="9"/>
      <c r="E1193" s="9"/>
      <c r="F1193" s="9"/>
      <c r="G1193" s="9"/>
      <c r="H1193" s="9"/>
      <c r="I1193" s="9"/>
    </row>
    <row r="1194" customFormat="false" ht="15.75" hidden="false" customHeight="false" outlineLevel="0" collapsed="false">
      <c r="A1194" s="9"/>
      <c r="B1194" s="9"/>
      <c r="C1194" s="9"/>
      <c r="D1194" s="9"/>
      <c r="E1194" s="9"/>
      <c r="F1194" s="9"/>
      <c r="G1194" s="9"/>
      <c r="H1194" s="9"/>
      <c r="I1194" s="9"/>
    </row>
    <row r="1195" customFormat="false" ht="15.75" hidden="false" customHeight="false" outlineLevel="0" collapsed="false">
      <c r="A1195" s="9"/>
      <c r="B1195" s="9"/>
      <c r="C1195" s="9"/>
      <c r="D1195" s="9"/>
      <c r="E1195" s="9"/>
      <c r="F1195" s="9"/>
      <c r="G1195" s="9"/>
      <c r="H1195" s="9"/>
      <c r="I1195" s="9"/>
    </row>
    <row r="1196" customFormat="false" ht="15.75" hidden="false" customHeight="false" outlineLevel="0" collapsed="false">
      <c r="A1196" s="9"/>
      <c r="B1196" s="9"/>
      <c r="C1196" s="9"/>
      <c r="D1196" s="9"/>
      <c r="E1196" s="9"/>
      <c r="F1196" s="9"/>
      <c r="G1196" s="9"/>
      <c r="H1196" s="9"/>
      <c r="I1196" s="9"/>
    </row>
    <row r="1197" customFormat="false" ht="15.75" hidden="false" customHeight="false" outlineLevel="0" collapsed="false">
      <c r="A1197" s="9"/>
      <c r="B1197" s="9"/>
      <c r="C1197" s="9"/>
      <c r="D1197" s="9"/>
      <c r="E1197" s="9"/>
      <c r="F1197" s="9"/>
      <c r="G1197" s="9"/>
      <c r="H1197" s="9"/>
      <c r="I1197" s="9"/>
    </row>
    <row r="1198" customFormat="false" ht="15.75" hidden="false" customHeight="false" outlineLevel="0" collapsed="false">
      <c r="A1198" s="9"/>
      <c r="B1198" s="9"/>
      <c r="C1198" s="9"/>
      <c r="D1198" s="9"/>
      <c r="E1198" s="9"/>
      <c r="F1198" s="9"/>
      <c r="G1198" s="9"/>
      <c r="H1198" s="9"/>
      <c r="I1198" s="9"/>
    </row>
    <row r="1199" customFormat="false" ht="15.75" hidden="false" customHeight="false" outlineLevel="0" collapsed="false">
      <c r="A1199" s="9"/>
      <c r="B1199" s="9"/>
      <c r="C1199" s="9"/>
      <c r="D1199" s="9"/>
      <c r="E1199" s="9"/>
      <c r="F1199" s="9"/>
      <c r="G1199" s="9"/>
      <c r="H1199" s="9"/>
      <c r="I1199" s="9"/>
    </row>
    <row r="1200" customFormat="false" ht="15.75" hidden="false" customHeight="false" outlineLevel="0" collapsed="false">
      <c r="A1200" s="9"/>
      <c r="B1200" s="9"/>
      <c r="C1200" s="9"/>
      <c r="D1200" s="9"/>
      <c r="E1200" s="9"/>
      <c r="F1200" s="9"/>
      <c r="G1200" s="9"/>
      <c r="H1200" s="9"/>
      <c r="I1200" s="9"/>
    </row>
    <row r="1201" customFormat="false" ht="15.75" hidden="false" customHeight="false" outlineLevel="0" collapsed="false">
      <c r="A1201" s="9"/>
      <c r="B1201" s="9"/>
      <c r="C1201" s="9"/>
      <c r="D1201" s="9"/>
      <c r="E1201" s="9"/>
      <c r="F1201" s="9"/>
      <c r="G1201" s="9"/>
      <c r="H1201" s="9"/>
      <c r="I1201" s="9"/>
    </row>
    <row r="1202" customFormat="false" ht="15.75" hidden="false" customHeight="false" outlineLevel="0" collapsed="false">
      <c r="A1202" s="9"/>
      <c r="B1202" s="9"/>
      <c r="C1202" s="9"/>
      <c r="D1202" s="9"/>
      <c r="E1202" s="9"/>
      <c r="F1202" s="9"/>
      <c r="G1202" s="9"/>
      <c r="H1202" s="9"/>
      <c r="I1202" s="9"/>
    </row>
    <row r="1203" customFormat="false" ht="15.75" hidden="false" customHeight="false" outlineLevel="0" collapsed="false">
      <c r="A1203" s="9"/>
      <c r="B1203" s="9"/>
      <c r="C1203" s="9"/>
      <c r="D1203" s="9"/>
      <c r="E1203" s="9"/>
      <c r="F1203" s="9"/>
      <c r="G1203" s="9"/>
      <c r="H1203" s="9"/>
      <c r="I1203" s="9"/>
    </row>
    <row r="1204" customFormat="false" ht="15.75" hidden="false" customHeight="false" outlineLevel="0" collapsed="false">
      <c r="A1204" s="9"/>
      <c r="B1204" s="9"/>
      <c r="C1204" s="9"/>
      <c r="D1204" s="9"/>
      <c r="E1204" s="9"/>
      <c r="F1204" s="9"/>
      <c r="G1204" s="9"/>
      <c r="H1204" s="9"/>
      <c r="I1204" s="9"/>
    </row>
    <row r="1205" customFormat="false" ht="15.75" hidden="false" customHeight="false" outlineLevel="0" collapsed="false">
      <c r="A1205" s="9"/>
      <c r="B1205" s="9"/>
      <c r="C1205" s="9"/>
      <c r="D1205" s="9"/>
      <c r="E1205" s="9"/>
      <c r="F1205" s="9"/>
      <c r="G1205" s="9"/>
      <c r="H1205" s="9"/>
      <c r="I1205" s="9"/>
    </row>
    <row r="1206" customFormat="false" ht="15.75" hidden="false" customHeight="false" outlineLevel="0" collapsed="false">
      <c r="A1206" s="9"/>
      <c r="B1206" s="9"/>
      <c r="C1206" s="9"/>
      <c r="D1206" s="9"/>
      <c r="E1206" s="9"/>
      <c r="F1206" s="9"/>
      <c r="G1206" s="9"/>
      <c r="H1206" s="9"/>
      <c r="I1206" s="9"/>
    </row>
    <row r="1207" customFormat="false" ht="15.75" hidden="false" customHeight="false" outlineLevel="0" collapsed="false">
      <c r="A1207" s="9"/>
      <c r="B1207" s="9"/>
      <c r="C1207" s="9"/>
      <c r="D1207" s="9"/>
      <c r="E1207" s="9"/>
      <c r="F1207" s="9"/>
      <c r="G1207" s="9"/>
      <c r="H1207" s="9"/>
      <c r="I1207" s="9"/>
    </row>
    <row r="1208" customFormat="false" ht="15.75" hidden="false" customHeight="false" outlineLevel="0" collapsed="false">
      <c r="A1208" s="9"/>
      <c r="B1208" s="9"/>
      <c r="C1208" s="9"/>
      <c r="D1208" s="9"/>
      <c r="E1208" s="9"/>
      <c r="F1208" s="9"/>
      <c r="G1208" s="9"/>
      <c r="H1208" s="9"/>
      <c r="I1208" s="9"/>
    </row>
    <row r="1209" customFormat="false" ht="15.75" hidden="false" customHeight="false" outlineLevel="0" collapsed="false">
      <c r="A1209" s="9"/>
      <c r="B1209" s="9"/>
      <c r="C1209" s="9"/>
      <c r="D1209" s="9"/>
      <c r="E1209" s="9"/>
      <c r="F1209" s="9"/>
      <c r="G1209" s="9"/>
      <c r="H1209" s="9"/>
      <c r="I1209" s="9"/>
    </row>
    <row r="1210" customFormat="false" ht="15.75" hidden="false" customHeight="false" outlineLevel="0" collapsed="false">
      <c r="A1210" s="9"/>
      <c r="B1210" s="9"/>
      <c r="C1210" s="9"/>
      <c r="D1210" s="9"/>
      <c r="E1210" s="9"/>
      <c r="F1210" s="9"/>
      <c r="G1210" s="9"/>
      <c r="H1210" s="9"/>
      <c r="I1210" s="9"/>
    </row>
    <row r="1211" customFormat="false" ht="15.75" hidden="false" customHeight="false" outlineLevel="0" collapsed="false">
      <c r="A1211" s="9"/>
      <c r="B1211" s="9"/>
      <c r="C1211" s="9"/>
      <c r="D1211" s="9"/>
      <c r="E1211" s="9"/>
      <c r="F1211" s="9"/>
      <c r="G1211" s="9"/>
      <c r="H1211" s="9"/>
      <c r="I1211" s="9"/>
    </row>
    <row r="1212" customFormat="false" ht="15.75" hidden="false" customHeight="false" outlineLevel="0" collapsed="false">
      <c r="A1212" s="9"/>
      <c r="B1212" s="9"/>
      <c r="C1212" s="9"/>
      <c r="D1212" s="9"/>
      <c r="E1212" s="9"/>
      <c r="F1212" s="9"/>
      <c r="G1212" s="9"/>
      <c r="H1212" s="9"/>
      <c r="I1212" s="9"/>
    </row>
    <row r="1213" customFormat="false" ht="15.75" hidden="false" customHeight="false" outlineLevel="0" collapsed="false">
      <c r="A1213" s="9"/>
      <c r="B1213" s="9"/>
      <c r="C1213" s="9"/>
      <c r="D1213" s="9"/>
      <c r="E1213" s="9"/>
      <c r="F1213" s="9"/>
      <c r="G1213" s="9"/>
      <c r="H1213" s="9"/>
      <c r="I1213" s="9"/>
    </row>
    <row r="1214" customFormat="false" ht="15.75" hidden="false" customHeight="false" outlineLevel="0" collapsed="false">
      <c r="A1214" s="9"/>
      <c r="B1214" s="9"/>
      <c r="C1214" s="9"/>
      <c r="D1214" s="9"/>
      <c r="E1214" s="9"/>
      <c r="F1214" s="9"/>
      <c r="G1214" s="9"/>
      <c r="H1214" s="9"/>
      <c r="I1214" s="9"/>
    </row>
    <row r="1215" customFormat="false" ht="15.75" hidden="false" customHeight="false" outlineLevel="0" collapsed="false">
      <c r="A1215" s="9"/>
      <c r="B1215" s="9"/>
      <c r="C1215" s="9"/>
      <c r="D1215" s="9"/>
      <c r="E1215" s="9"/>
      <c r="F1215" s="9"/>
      <c r="G1215" s="9"/>
      <c r="H1215" s="9"/>
      <c r="I1215" s="9"/>
    </row>
    <row r="1216" customFormat="false" ht="15.75" hidden="false" customHeight="false" outlineLevel="0" collapsed="false">
      <c r="A1216" s="9"/>
      <c r="B1216" s="9"/>
      <c r="C1216" s="9"/>
      <c r="D1216" s="9"/>
      <c r="E1216" s="9"/>
      <c r="F1216" s="9"/>
      <c r="G1216" s="9"/>
      <c r="H1216" s="9"/>
      <c r="I1216" s="9"/>
    </row>
    <row r="1217" customFormat="false" ht="15.75" hidden="false" customHeight="false" outlineLevel="0" collapsed="false">
      <c r="A1217" s="9"/>
      <c r="B1217" s="9"/>
      <c r="C1217" s="9"/>
      <c r="D1217" s="9"/>
      <c r="E1217" s="9"/>
      <c r="F1217" s="9"/>
      <c r="G1217" s="9"/>
      <c r="H1217" s="9"/>
      <c r="I1217" s="9"/>
    </row>
    <row r="1218" customFormat="false" ht="15.75" hidden="false" customHeight="false" outlineLevel="0" collapsed="false">
      <c r="A1218" s="9"/>
      <c r="B1218" s="9"/>
      <c r="C1218" s="9"/>
      <c r="D1218" s="9"/>
      <c r="E1218" s="9"/>
      <c r="F1218" s="9"/>
      <c r="G1218" s="9"/>
      <c r="H1218" s="9"/>
      <c r="I1218" s="9"/>
    </row>
    <row r="1219" customFormat="false" ht="15.75" hidden="false" customHeight="false" outlineLevel="0" collapsed="false">
      <c r="A1219" s="9"/>
      <c r="B1219" s="9"/>
      <c r="C1219" s="9"/>
      <c r="D1219" s="9"/>
      <c r="E1219" s="9"/>
      <c r="F1219" s="9"/>
      <c r="G1219" s="9"/>
      <c r="H1219" s="9"/>
      <c r="I1219" s="9"/>
    </row>
    <row r="1220" customFormat="false" ht="15.75" hidden="false" customHeight="false" outlineLevel="0" collapsed="false">
      <c r="A1220" s="9"/>
      <c r="B1220" s="9"/>
      <c r="C1220" s="9"/>
      <c r="D1220" s="9"/>
      <c r="E1220" s="9"/>
      <c r="F1220" s="9"/>
      <c r="G1220" s="9"/>
      <c r="H1220" s="9"/>
      <c r="I1220" s="9"/>
    </row>
    <row r="1221" customFormat="false" ht="15.75" hidden="false" customHeight="false" outlineLevel="0" collapsed="false">
      <c r="A1221" s="9"/>
      <c r="B1221" s="9"/>
      <c r="C1221" s="9"/>
      <c r="D1221" s="9"/>
      <c r="E1221" s="9"/>
      <c r="F1221" s="9"/>
      <c r="G1221" s="9"/>
      <c r="H1221" s="9"/>
      <c r="I1221" s="9"/>
    </row>
    <row r="1222" customFormat="false" ht="15.75" hidden="false" customHeight="false" outlineLevel="0" collapsed="false">
      <c r="A1222" s="9"/>
      <c r="B1222" s="9"/>
      <c r="C1222" s="9"/>
      <c r="D1222" s="9"/>
      <c r="E1222" s="9"/>
      <c r="F1222" s="9"/>
      <c r="G1222" s="9"/>
      <c r="H1222" s="9"/>
      <c r="I1222" s="9"/>
    </row>
    <row r="1223" customFormat="false" ht="15.75" hidden="false" customHeight="false" outlineLevel="0" collapsed="false">
      <c r="A1223" s="9"/>
      <c r="B1223" s="9"/>
      <c r="C1223" s="9"/>
      <c r="D1223" s="9"/>
      <c r="E1223" s="9"/>
      <c r="F1223" s="9"/>
      <c r="G1223" s="9"/>
      <c r="H1223" s="9"/>
      <c r="I1223" s="9"/>
    </row>
    <row r="1224" customFormat="false" ht="15.75" hidden="false" customHeight="false" outlineLevel="0" collapsed="false">
      <c r="A1224" s="9"/>
      <c r="B1224" s="9"/>
      <c r="C1224" s="9"/>
      <c r="D1224" s="9"/>
      <c r="E1224" s="9"/>
      <c r="F1224" s="9"/>
      <c r="G1224" s="9"/>
      <c r="H1224" s="9"/>
      <c r="I1224" s="9"/>
    </row>
    <row r="1225" customFormat="false" ht="15.75" hidden="false" customHeight="false" outlineLevel="0" collapsed="false">
      <c r="A1225" s="9"/>
      <c r="B1225" s="9"/>
      <c r="C1225" s="9"/>
      <c r="D1225" s="9"/>
      <c r="E1225" s="9"/>
      <c r="F1225" s="9"/>
      <c r="G1225" s="9"/>
      <c r="H1225" s="9"/>
      <c r="I1225" s="9"/>
    </row>
    <row r="1226" customFormat="false" ht="15.75" hidden="false" customHeight="false" outlineLevel="0" collapsed="false">
      <c r="A1226" s="9"/>
      <c r="B1226" s="9"/>
      <c r="C1226" s="9"/>
      <c r="D1226" s="9"/>
      <c r="E1226" s="9"/>
      <c r="F1226" s="9"/>
      <c r="G1226" s="9"/>
      <c r="H1226" s="9"/>
      <c r="I1226" s="9"/>
    </row>
    <row r="1227" customFormat="false" ht="15.75" hidden="false" customHeight="false" outlineLevel="0" collapsed="false">
      <c r="A1227" s="9"/>
      <c r="B1227" s="9"/>
      <c r="C1227" s="9"/>
      <c r="D1227" s="9"/>
      <c r="E1227" s="9"/>
      <c r="F1227" s="9"/>
      <c r="G1227" s="9"/>
      <c r="H1227" s="9"/>
      <c r="I1227" s="9"/>
    </row>
    <row r="1228" customFormat="false" ht="15.75" hidden="false" customHeight="false" outlineLevel="0" collapsed="false">
      <c r="A1228" s="9"/>
      <c r="B1228" s="9"/>
      <c r="C1228" s="9"/>
      <c r="D1228" s="9"/>
      <c r="E1228" s="9"/>
      <c r="F1228" s="9"/>
      <c r="G1228" s="9"/>
      <c r="H1228" s="9"/>
      <c r="I1228" s="9"/>
    </row>
    <row r="1229" customFormat="false" ht="15.75" hidden="false" customHeight="false" outlineLevel="0" collapsed="false">
      <c r="A1229" s="9"/>
      <c r="B1229" s="9"/>
      <c r="C1229" s="9"/>
      <c r="D1229" s="9"/>
      <c r="E1229" s="9"/>
      <c r="F1229" s="9"/>
      <c r="G1229" s="9"/>
      <c r="H1229" s="9"/>
      <c r="I1229" s="9"/>
    </row>
    <row r="1230" customFormat="false" ht="15.75" hidden="false" customHeight="false" outlineLevel="0" collapsed="false">
      <c r="A1230" s="9"/>
      <c r="B1230" s="9"/>
      <c r="C1230" s="9"/>
      <c r="D1230" s="9"/>
      <c r="E1230" s="9"/>
      <c r="F1230" s="9"/>
      <c r="G1230" s="9"/>
      <c r="H1230" s="9"/>
      <c r="I1230" s="9"/>
    </row>
    <row r="1231" customFormat="false" ht="15.75" hidden="false" customHeight="false" outlineLevel="0" collapsed="false">
      <c r="A1231" s="9"/>
      <c r="B1231" s="9"/>
      <c r="C1231" s="9"/>
      <c r="D1231" s="9"/>
      <c r="E1231" s="9"/>
      <c r="F1231" s="9"/>
      <c r="G1231" s="9"/>
      <c r="H1231" s="9"/>
      <c r="I1231" s="9"/>
    </row>
    <row r="1232" customFormat="false" ht="15.75" hidden="false" customHeight="false" outlineLevel="0" collapsed="false">
      <c r="A1232" s="9"/>
      <c r="B1232" s="9"/>
      <c r="C1232" s="9"/>
      <c r="D1232" s="9"/>
      <c r="E1232" s="9"/>
      <c r="F1232" s="9"/>
      <c r="G1232" s="9"/>
      <c r="H1232" s="9"/>
      <c r="I1232" s="9"/>
    </row>
    <row r="1233" customFormat="false" ht="15.75" hidden="false" customHeight="false" outlineLevel="0" collapsed="false">
      <c r="A1233" s="9"/>
      <c r="B1233" s="9"/>
      <c r="C1233" s="9"/>
      <c r="D1233" s="9"/>
      <c r="E1233" s="9"/>
      <c r="F1233" s="9"/>
      <c r="G1233" s="9"/>
      <c r="H1233" s="9"/>
      <c r="I1233" s="9"/>
    </row>
    <row r="1234" customFormat="false" ht="15.75" hidden="false" customHeight="false" outlineLevel="0" collapsed="false">
      <c r="A1234" s="9"/>
      <c r="B1234" s="9"/>
      <c r="C1234" s="9"/>
      <c r="D1234" s="9"/>
      <c r="E1234" s="9"/>
      <c r="F1234" s="9"/>
      <c r="G1234" s="9"/>
      <c r="H1234" s="9"/>
      <c r="I1234" s="9"/>
    </row>
    <row r="1235" customFormat="false" ht="15.75" hidden="false" customHeight="false" outlineLevel="0" collapsed="false">
      <c r="A1235" s="9"/>
      <c r="B1235" s="9"/>
      <c r="C1235" s="9"/>
      <c r="D1235" s="9"/>
      <c r="E1235" s="9"/>
      <c r="F1235" s="9"/>
      <c r="G1235" s="9"/>
      <c r="H1235" s="9"/>
      <c r="I1235" s="9"/>
    </row>
    <row r="1236" customFormat="false" ht="15.75" hidden="false" customHeight="false" outlineLevel="0" collapsed="false">
      <c r="A1236" s="9"/>
      <c r="B1236" s="9"/>
      <c r="C1236" s="9"/>
      <c r="D1236" s="9"/>
      <c r="E1236" s="9"/>
      <c r="F1236" s="9"/>
      <c r="G1236" s="9"/>
      <c r="H1236" s="9"/>
      <c r="I1236" s="9"/>
    </row>
    <row r="1237" customFormat="false" ht="15.75" hidden="false" customHeight="false" outlineLevel="0" collapsed="false">
      <c r="A1237" s="9"/>
      <c r="B1237" s="9"/>
      <c r="C1237" s="9"/>
      <c r="D1237" s="9"/>
      <c r="E1237" s="9"/>
      <c r="F1237" s="9"/>
      <c r="G1237" s="9"/>
      <c r="H1237" s="9"/>
      <c r="I1237" s="9"/>
    </row>
    <row r="1238" customFormat="false" ht="15.75" hidden="false" customHeight="false" outlineLevel="0" collapsed="false">
      <c r="A1238" s="9"/>
      <c r="B1238" s="9"/>
      <c r="C1238" s="9"/>
      <c r="D1238" s="9"/>
      <c r="E1238" s="9"/>
      <c r="F1238" s="9"/>
      <c r="G1238" s="9"/>
      <c r="H1238" s="9"/>
      <c r="I1238" s="9"/>
    </row>
    <row r="1239" customFormat="false" ht="15.75" hidden="false" customHeight="false" outlineLevel="0" collapsed="false">
      <c r="A1239" s="9"/>
      <c r="B1239" s="9"/>
      <c r="C1239" s="9"/>
      <c r="D1239" s="9"/>
      <c r="E1239" s="9"/>
      <c r="F1239" s="9"/>
      <c r="G1239" s="9"/>
      <c r="H1239" s="9"/>
      <c r="I1239" s="9"/>
    </row>
    <row r="1240" customFormat="false" ht="15.75" hidden="false" customHeight="false" outlineLevel="0" collapsed="false">
      <c r="A1240" s="9"/>
      <c r="B1240" s="9"/>
      <c r="C1240" s="9"/>
      <c r="D1240" s="9"/>
      <c r="E1240" s="9"/>
      <c r="F1240" s="9"/>
      <c r="G1240" s="9"/>
      <c r="H1240" s="9"/>
      <c r="I1240" s="9"/>
    </row>
    <row r="1241" customFormat="false" ht="15.75" hidden="false" customHeight="false" outlineLevel="0" collapsed="false">
      <c r="A1241" s="9"/>
      <c r="B1241" s="9"/>
      <c r="C1241" s="9"/>
      <c r="D1241" s="9"/>
      <c r="E1241" s="9"/>
      <c r="F1241" s="9"/>
      <c r="G1241" s="9"/>
      <c r="H1241" s="9"/>
      <c r="I1241" s="9"/>
    </row>
    <row r="1242" customFormat="false" ht="15.75" hidden="false" customHeight="false" outlineLevel="0" collapsed="false">
      <c r="A1242" s="9"/>
      <c r="B1242" s="9"/>
      <c r="C1242" s="9"/>
      <c r="D1242" s="9"/>
      <c r="E1242" s="9"/>
      <c r="F1242" s="9"/>
      <c r="G1242" s="9"/>
      <c r="H1242" s="9"/>
      <c r="I1242" s="9"/>
    </row>
    <row r="1243" customFormat="false" ht="15.75" hidden="false" customHeight="false" outlineLevel="0" collapsed="false">
      <c r="A1243" s="9"/>
      <c r="B1243" s="9"/>
      <c r="C1243" s="9"/>
      <c r="D1243" s="9"/>
      <c r="E1243" s="9"/>
      <c r="F1243" s="9"/>
      <c r="G1243" s="9"/>
      <c r="H1243" s="9"/>
      <c r="I1243" s="9"/>
    </row>
    <row r="1244" customFormat="false" ht="15.75" hidden="false" customHeight="false" outlineLevel="0" collapsed="false">
      <c r="A1244" s="9"/>
      <c r="B1244" s="9"/>
      <c r="C1244" s="9"/>
      <c r="D1244" s="9"/>
      <c r="E1244" s="9"/>
      <c r="F1244" s="9"/>
      <c r="G1244" s="9"/>
      <c r="H1244" s="9"/>
      <c r="I1244" s="9"/>
    </row>
    <row r="1245" customFormat="false" ht="15.75" hidden="false" customHeight="false" outlineLevel="0" collapsed="false">
      <c r="A1245" s="9"/>
      <c r="B1245" s="9"/>
      <c r="C1245" s="9"/>
      <c r="D1245" s="9"/>
      <c r="E1245" s="9"/>
      <c r="F1245" s="9"/>
      <c r="G1245" s="9"/>
      <c r="H1245" s="9"/>
      <c r="I1245" s="9"/>
    </row>
    <row r="1246" customFormat="false" ht="15.75" hidden="false" customHeight="false" outlineLevel="0" collapsed="false">
      <c r="A1246" s="9"/>
      <c r="B1246" s="9"/>
      <c r="C1246" s="9"/>
      <c r="D1246" s="9"/>
      <c r="E1246" s="9"/>
      <c r="F1246" s="9"/>
      <c r="G1246" s="9"/>
      <c r="H1246" s="9"/>
      <c r="I1246" s="9"/>
    </row>
    <row r="1247" customFormat="false" ht="15.75" hidden="false" customHeight="false" outlineLevel="0" collapsed="false">
      <c r="A1247" s="9"/>
      <c r="B1247" s="9"/>
      <c r="C1247" s="9"/>
      <c r="D1247" s="9"/>
      <c r="E1247" s="9"/>
      <c r="F1247" s="9"/>
      <c r="G1247" s="9"/>
      <c r="H1247" s="9"/>
      <c r="I1247" s="9"/>
    </row>
    <row r="1248" customFormat="false" ht="15.75" hidden="false" customHeight="false" outlineLevel="0" collapsed="false">
      <c r="A1248" s="9"/>
      <c r="B1248" s="9"/>
      <c r="C1248" s="9"/>
      <c r="D1248" s="9"/>
      <c r="E1248" s="9"/>
      <c r="F1248" s="9"/>
      <c r="G1248" s="9"/>
      <c r="H1248" s="9"/>
      <c r="I1248" s="9"/>
    </row>
    <row r="1249" customFormat="false" ht="15.75" hidden="false" customHeight="false" outlineLevel="0" collapsed="false">
      <c r="A1249" s="9"/>
      <c r="B1249" s="9"/>
      <c r="C1249" s="9"/>
      <c r="D1249" s="9"/>
      <c r="E1249" s="9"/>
      <c r="F1249" s="9"/>
      <c r="G1249" s="9"/>
      <c r="H1249" s="9"/>
      <c r="I1249" s="9"/>
    </row>
    <row r="1250" customFormat="false" ht="15.75" hidden="false" customHeight="false" outlineLevel="0" collapsed="false">
      <c r="A1250" s="9"/>
      <c r="B1250" s="9"/>
      <c r="C1250" s="9"/>
      <c r="D1250" s="9"/>
      <c r="E1250" s="9"/>
      <c r="F1250" s="9"/>
      <c r="G1250" s="9"/>
      <c r="H1250" s="9"/>
      <c r="I1250" s="9"/>
    </row>
    <row r="1251" customFormat="false" ht="15.75" hidden="false" customHeight="false" outlineLevel="0" collapsed="false">
      <c r="A1251" s="9"/>
      <c r="B1251" s="9"/>
      <c r="C1251" s="9"/>
      <c r="D1251" s="9"/>
      <c r="E1251" s="9"/>
      <c r="F1251" s="9"/>
      <c r="G1251" s="9"/>
      <c r="H1251" s="9"/>
      <c r="I1251" s="9"/>
    </row>
    <row r="1252" customFormat="false" ht="15.75" hidden="false" customHeight="false" outlineLevel="0" collapsed="false">
      <c r="A1252" s="9"/>
      <c r="B1252" s="9"/>
      <c r="C1252" s="9"/>
      <c r="D1252" s="9"/>
      <c r="E1252" s="9"/>
      <c r="F1252" s="9"/>
      <c r="G1252" s="9"/>
      <c r="H1252" s="9"/>
      <c r="I1252" s="9"/>
    </row>
    <row r="1253" customFormat="false" ht="15.75" hidden="false" customHeight="false" outlineLevel="0" collapsed="false">
      <c r="A1253" s="9"/>
      <c r="B1253" s="9"/>
      <c r="C1253" s="9"/>
      <c r="D1253" s="9"/>
      <c r="E1253" s="9"/>
      <c r="F1253" s="9"/>
      <c r="G1253" s="9"/>
      <c r="H1253" s="9"/>
      <c r="I1253" s="9"/>
    </row>
    <row r="1254" customFormat="false" ht="15.75" hidden="false" customHeight="false" outlineLevel="0" collapsed="false">
      <c r="A1254" s="9"/>
      <c r="B1254" s="9"/>
      <c r="C1254" s="9"/>
      <c r="D1254" s="9"/>
      <c r="E1254" s="9"/>
      <c r="F1254" s="9"/>
      <c r="G1254" s="9"/>
      <c r="H1254" s="9"/>
      <c r="I1254" s="9"/>
    </row>
    <row r="1255" customFormat="false" ht="15.75" hidden="false" customHeight="false" outlineLevel="0" collapsed="false">
      <c r="A1255" s="9"/>
      <c r="B1255" s="9"/>
      <c r="C1255" s="9"/>
      <c r="D1255" s="9"/>
      <c r="E1255" s="9"/>
      <c r="F1255" s="9"/>
      <c r="G1255" s="9"/>
      <c r="H1255" s="9"/>
      <c r="I1255" s="9"/>
    </row>
    <row r="1256" customFormat="false" ht="15.75" hidden="false" customHeight="false" outlineLevel="0" collapsed="false">
      <c r="A1256" s="9"/>
      <c r="B1256" s="9"/>
      <c r="C1256" s="9"/>
      <c r="D1256" s="9"/>
      <c r="E1256" s="9"/>
      <c r="F1256" s="9"/>
      <c r="G1256" s="9"/>
      <c r="H1256" s="9"/>
      <c r="I1256" s="9"/>
    </row>
    <row r="1257" customFormat="false" ht="15.75" hidden="false" customHeight="false" outlineLevel="0" collapsed="false">
      <c r="A1257" s="9"/>
      <c r="B1257" s="9"/>
      <c r="C1257" s="9"/>
      <c r="D1257" s="9"/>
      <c r="E1257" s="9"/>
      <c r="F1257" s="9"/>
      <c r="G1257" s="9"/>
      <c r="H1257" s="9"/>
      <c r="I1257" s="9"/>
    </row>
    <row r="1258" customFormat="false" ht="15.75" hidden="false" customHeight="false" outlineLevel="0" collapsed="false">
      <c r="A1258" s="9"/>
      <c r="B1258" s="9"/>
      <c r="C1258" s="9"/>
      <c r="D1258" s="9"/>
      <c r="E1258" s="9"/>
      <c r="F1258" s="9"/>
      <c r="G1258" s="9"/>
      <c r="H1258" s="9"/>
      <c r="I1258" s="9"/>
    </row>
    <row r="1259" customFormat="false" ht="15.75" hidden="false" customHeight="false" outlineLevel="0" collapsed="false">
      <c r="A1259" s="9"/>
      <c r="B1259" s="9"/>
      <c r="C1259" s="9"/>
      <c r="D1259" s="9"/>
      <c r="E1259" s="9"/>
      <c r="F1259" s="9"/>
      <c r="G1259" s="9"/>
      <c r="H1259" s="9"/>
      <c r="I1259" s="9"/>
    </row>
    <row r="1260" customFormat="false" ht="15.75" hidden="false" customHeight="false" outlineLevel="0" collapsed="false">
      <c r="A1260" s="9"/>
      <c r="B1260" s="9"/>
      <c r="C1260" s="9"/>
      <c r="D1260" s="9"/>
      <c r="E1260" s="9"/>
      <c r="F1260" s="9"/>
      <c r="G1260" s="9"/>
      <c r="H1260" s="9"/>
      <c r="I1260" s="9"/>
    </row>
    <row r="1261" customFormat="false" ht="15.75" hidden="false" customHeight="false" outlineLevel="0" collapsed="false">
      <c r="A1261" s="9"/>
      <c r="B1261" s="9"/>
      <c r="C1261" s="9"/>
      <c r="D1261" s="9"/>
      <c r="E1261" s="9"/>
      <c r="F1261" s="9"/>
      <c r="G1261" s="9"/>
      <c r="H1261" s="9"/>
      <c r="I1261" s="9"/>
    </row>
    <row r="1262" customFormat="false" ht="15.75" hidden="false" customHeight="false" outlineLevel="0" collapsed="false">
      <c r="A1262" s="9"/>
      <c r="B1262" s="9"/>
      <c r="C1262" s="9"/>
      <c r="D1262" s="9"/>
      <c r="E1262" s="9"/>
      <c r="F1262" s="9"/>
      <c r="G1262" s="9"/>
      <c r="H1262" s="9"/>
      <c r="I1262" s="9"/>
    </row>
    <row r="1263" customFormat="false" ht="15.75" hidden="false" customHeight="false" outlineLevel="0" collapsed="false">
      <c r="A1263" s="9"/>
      <c r="B1263" s="9"/>
      <c r="C1263" s="9"/>
      <c r="D1263" s="9"/>
      <c r="E1263" s="9"/>
      <c r="F1263" s="9"/>
      <c r="G1263" s="9"/>
      <c r="H1263" s="9"/>
      <c r="I1263" s="9"/>
    </row>
    <row r="1264" customFormat="false" ht="15.75" hidden="false" customHeight="false" outlineLevel="0" collapsed="false">
      <c r="A1264" s="9"/>
      <c r="B1264" s="9"/>
      <c r="C1264" s="9"/>
      <c r="D1264" s="9"/>
      <c r="E1264" s="9"/>
      <c r="F1264" s="9"/>
      <c r="G1264" s="9"/>
      <c r="H1264" s="9"/>
      <c r="I1264" s="9"/>
    </row>
    <row r="1265" customFormat="false" ht="15.75" hidden="false" customHeight="false" outlineLevel="0" collapsed="false">
      <c r="A1265" s="9"/>
      <c r="B1265" s="9"/>
      <c r="C1265" s="9"/>
      <c r="D1265" s="9"/>
      <c r="E1265" s="9"/>
      <c r="F1265" s="9"/>
      <c r="G1265" s="9"/>
      <c r="H1265" s="9"/>
      <c r="I1265" s="9"/>
    </row>
    <row r="1266" customFormat="false" ht="15.75" hidden="false" customHeight="false" outlineLevel="0" collapsed="false">
      <c r="A1266" s="9"/>
      <c r="B1266" s="9"/>
      <c r="C1266" s="9"/>
      <c r="D1266" s="9"/>
      <c r="E1266" s="9"/>
      <c r="F1266" s="9"/>
      <c r="G1266" s="9"/>
      <c r="H1266" s="9"/>
      <c r="I1266" s="9"/>
    </row>
    <row r="1267" customFormat="false" ht="15.75" hidden="false" customHeight="false" outlineLevel="0" collapsed="false">
      <c r="A1267" s="9"/>
      <c r="B1267" s="9"/>
      <c r="C1267" s="9"/>
      <c r="D1267" s="9"/>
      <c r="E1267" s="9"/>
      <c r="F1267" s="9"/>
      <c r="G1267" s="9"/>
      <c r="H1267" s="9"/>
      <c r="I1267" s="9"/>
    </row>
    <row r="1268" customFormat="false" ht="15.75" hidden="false" customHeight="false" outlineLevel="0" collapsed="false">
      <c r="A1268" s="9"/>
      <c r="B1268" s="9"/>
      <c r="C1268" s="9"/>
      <c r="D1268" s="9"/>
      <c r="E1268" s="9"/>
      <c r="F1268" s="9"/>
      <c r="G1268" s="9"/>
      <c r="H1268" s="9"/>
      <c r="I1268" s="9"/>
    </row>
    <row r="1269" customFormat="false" ht="15.75" hidden="false" customHeight="false" outlineLevel="0" collapsed="false">
      <c r="A1269" s="9"/>
      <c r="B1269" s="9"/>
      <c r="C1269" s="9"/>
      <c r="D1269" s="9"/>
      <c r="E1269" s="9"/>
      <c r="F1269" s="9"/>
      <c r="G1269" s="9"/>
      <c r="H1269" s="9"/>
      <c r="I1269" s="9"/>
    </row>
    <row r="1270" customFormat="false" ht="15.75" hidden="false" customHeight="false" outlineLevel="0" collapsed="false">
      <c r="A1270" s="9"/>
      <c r="B1270" s="9"/>
      <c r="C1270" s="9"/>
      <c r="D1270" s="9"/>
      <c r="E1270" s="9"/>
      <c r="F1270" s="9"/>
      <c r="G1270" s="9"/>
      <c r="H1270" s="9"/>
      <c r="I1270" s="9"/>
    </row>
    <row r="1271" customFormat="false" ht="15.75" hidden="false" customHeight="false" outlineLevel="0" collapsed="false">
      <c r="A1271" s="9"/>
      <c r="B1271" s="9"/>
      <c r="C1271" s="9"/>
      <c r="D1271" s="9"/>
      <c r="E1271" s="9"/>
      <c r="F1271" s="9"/>
      <c r="G1271" s="9"/>
      <c r="H1271" s="9"/>
      <c r="I1271" s="9"/>
    </row>
    <row r="1272" customFormat="false" ht="15.75" hidden="false" customHeight="false" outlineLevel="0" collapsed="false">
      <c r="A1272" s="9"/>
      <c r="B1272" s="9"/>
      <c r="C1272" s="9"/>
      <c r="D1272" s="9"/>
      <c r="E1272" s="9"/>
      <c r="F1272" s="9"/>
      <c r="G1272" s="9"/>
      <c r="H1272" s="9"/>
      <c r="I1272" s="9"/>
    </row>
    <row r="1273" customFormat="false" ht="15.75" hidden="false" customHeight="false" outlineLevel="0" collapsed="false">
      <c r="A1273" s="9"/>
      <c r="B1273" s="9"/>
      <c r="C1273" s="9"/>
      <c r="D1273" s="9"/>
      <c r="E1273" s="9"/>
      <c r="F1273" s="9"/>
      <c r="G1273" s="9"/>
      <c r="H1273" s="9"/>
      <c r="I1273" s="9"/>
    </row>
    <row r="1274" customFormat="false" ht="15.75" hidden="false" customHeight="false" outlineLevel="0" collapsed="false">
      <c r="A1274" s="9"/>
      <c r="B1274" s="9"/>
      <c r="C1274" s="9"/>
      <c r="D1274" s="9"/>
      <c r="E1274" s="9"/>
      <c r="F1274" s="9"/>
      <c r="G1274" s="9"/>
      <c r="H1274" s="9"/>
      <c r="I1274" s="9"/>
    </row>
    <row r="1275" customFormat="false" ht="15.75" hidden="false" customHeight="false" outlineLevel="0" collapsed="false">
      <c r="A1275" s="9"/>
      <c r="B1275" s="9"/>
      <c r="C1275" s="9"/>
      <c r="D1275" s="9"/>
      <c r="E1275" s="9"/>
      <c r="F1275" s="9"/>
      <c r="G1275" s="9"/>
      <c r="H1275" s="9"/>
      <c r="I1275" s="9"/>
    </row>
    <row r="1276" customFormat="false" ht="15.75" hidden="false" customHeight="false" outlineLevel="0" collapsed="false">
      <c r="A1276" s="9"/>
      <c r="B1276" s="9"/>
      <c r="C1276" s="9"/>
      <c r="D1276" s="9"/>
      <c r="E1276" s="9"/>
      <c r="F1276" s="9"/>
      <c r="G1276" s="9"/>
      <c r="H1276" s="9"/>
      <c r="I1276" s="9"/>
    </row>
    <row r="1277" customFormat="false" ht="15.75" hidden="false" customHeight="false" outlineLevel="0" collapsed="false">
      <c r="A1277" s="9"/>
      <c r="B1277" s="9"/>
      <c r="C1277" s="9"/>
      <c r="D1277" s="9"/>
      <c r="E1277" s="9"/>
      <c r="F1277" s="9"/>
      <c r="G1277" s="9"/>
      <c r="H1277" s="9"/>
      <c r="I1277" s="9"/>
    </row>
    <row r="1278" customFormat="false" ht="15.75" hidden="false" customHeight="false" outlineLevel="0" collapsed="false">
      <c r="A1278" s="9"/>
      <c r="B1278" s="9"/>
      <c r="C1278" s="9"/>
      <c r="D1278" s="9"/>
      <c r="E1278" s="9"/>
      <c r="F1278" s="9"/>
      <c r="G1278" s="9"/>
      <c r="H1278" s="9"/>
      <c r="I1278" s="9"/>
    </row>
    <row r="1279" customFormat="false" ht="15.75" hidden="false" customHeight="false" outlineLevel="0" collapsed="false">
      <c r="A1279" s="9"/>
      <c r="B1279" s="9"/>
      <c r="C1279" s="9"/>
      <c r="D1279" s="9"/>
      <c r="E1279" s="9"/>
      <c r="F1279" s="9"/>
      <c r="G1279" s="9"/>
      <c r="H1279" s="9"/>
      <c r="I1279" s="9"/>
    </row>
    <row r="1280" customFormat="false" ht="15.75" hidden="false" customHeight="false" outlineLevel="0" collapsed="false">
      <c r="A1280" s="9"/>
      <c r="B1280" s="9"/>
      <c r="C1280" s="9"/>
      <c r="D1280" s="9"/>
      <c r="E1280" s="9"/>
      <c r="F1280" s="9"/>
      <c r="G1280" s="9"/>
      <c r="H1280" s="9"/>
      <c r="I1280" s="9"/>
    </row>
    <row r="1281" customFormat="false" ht="15.75" hidden="false" customHeight="false" outlineLevel="0" collapsed="false">
      <c r="A1281" s="9"/>
      <c r="B1281" s="9"/>
      <c r="C1281" s="9"/>
      <c r="D1281" s="9"/>
      <c r="E1281" s="9"/>
      <c r="F1281" s="9"/>
      <c r="G1281" s="9"/>
      <c r="H1281" s="9"/>
      <c r="I1281" s="9"/>
    </row>
    <row r="1282" customFormat="false" ht="15.75" hidden="false" customHeight="false" outlineLevel="0" collapsed="false">
      <c r="A1282" s="9"/>
      <c r="B1282" s="9"/>
      <c r="C1282" s="9"/>
      <c r="D1282" s="9"/>
      <c r="E1282" s="9"/>
      <c r="F1282" s="9"/>
      <c r="G1282" s="9"/>
      <c r="H1282" s="9"/>
      <c r="I1282" s="9"/>
    </row>
    <row r="1283" customFormat="false" ht="15.75" hidden="false" customHeight="false" outlineLevel="0" collapsed="false">
      <c r="A1283" s="9"/>
      <c r="B1283" s="9"/>
      <c r="C1283" s="9"/>
      <c r="D1283" s="9"/>
      <c r="E1283" s="9"/>
      <c r="F1283" s="9"/>
      <c r="G1283" s="9"/>
      <c r="H1283" s="9"/>
      <c r="I1283" s="9"/>
    </row>
    <row r="1284" customFormat="false" ht="15.75" hidden="false" customHeight="false" outlineLevel="0" collapsed="false">
      <c r="A1284" s="9"/>
      <c r="B1284" s="9"/>
      <c r="C1284" s="9"/>
      <c r="D1284" s="9"/>
      <c r="E1284" s="9"/>
      <c r="F1284" s="9"/>
      <c r="G1284" s="9"/>
      <c r="H1284" s="9"/>
      <c r="I1284" s="9"/>
    </row>
    <row r="1285" customFormat="false" ht="15.75" hidden="false" customHeight="false" outlineLevel="0" collapsed="false">
      <c r="A1285" s="9"/>
      <c r="B1285" s="9"/>
      <c r="C1285" s="9"/>
      <c r="D1285" s="9"/>
      <c r="E1285" s="9"/>
      <c r="F1285" s="9"/>
      <c r="G1285" s="9"/>
      <c r="H1285" s="9"/>
      <c r="I1285" s="9"/>
    </row>
    <row r="1286" customFormat="false" ht="15.75" hidden="false" customHeight="false" outlineLevel="0" collapsed="false">
      <c r="A1286" s="9"/>
      <c r="B1286" s="9"/>
      <c r="C1286" s="9"/>
      <c r="D1286" s="9"/>
      <c r="E1286" s="9"/>
      <c r="F1286" s="9"/>
      <c r="G1286" s="9"/>
      <c r="H1286" s="9"/>
      <c r="I1286" s="9"/>
    </row>
    <row r="1287" customFormat="false" ht="15.75" hidden="false" customHeight="false" outlineLevel="0" collapsed="false">
      <c r="A1287" s="9"/>
      <c r="B1287" s="9"/>
      <c r="C1287" s="9"/>
      <c r="D1287" s="9"/>
      <c r="E1287" s="9"/>
      <c r="F1287" s="9"/>
      <c r="G1287" s="9"/>
      <c r="H1287" s="9"/>
      <c r="I1287" s="9"/>
    </row>
    <row r="1288" customFormat="false" ht="15.75" hidden="false" customHeight="false" outlineLevel="0" collapsed="false">
      <c r="A1288" s="9"/>
      <c r="B1288" s="9"/>
      <c r="C1288" s="9"/>
      <c r="D1288" s="9"/>
      <c r="E1288" s="9"/>
      <c r="F1288" s="9"/>
      <c r="G1288" s="9"/>
      <c r="H1288" s="9"/>
      <c r="I1288" s="9"/>
    </row>
    <row r="1289" customFormat="false" ht="15.75" hidden="false" customHeight="false" outlineLevel="0" collapsed="false">
      <c r="A1289" s="9"/>
      <c r="B1289" s="9"/>
      <c r="C1289" s="9"/>
      <c r="D1289" s="9"/>
      <c r="E1289" s="9"/>
      <c r="F1289" s="9"/>
      <c r="G1289" s="9"/>
      <c r="H1289" s="9"/>
      <c r="I1289" s="9"/>
    </row>
    <row r="1290" customFormat="false" ht="15.75" hidden="false" customHeight="false" outlineLevel="0" collapsed="false">
      <c r="A1290" s="9"/>
      <c r="B1290" s="9"/>
      <c r="C1290" s="9"/>
      <c r="D1290" s="9"/>
      <c r="E1290" s="9"/>
      <c r="F1290" s="9"/>
      <c r="G1290" s="9"/>
      <c r="H1290" s="9"/>
      <c r="I1290" s="9"/>
    </row>
    <row r="1291" customFormat="false" ht="15.75" hidden="false" customHeight="false" outlineLevel="0" collapsed="false">
      <c r="A1291" s="9"/>
      <c r="B1291" s="9"/>
      <c r="C1291" s="9"/>
      <c r="D1291" s="9"/>
      <c r="E1291" s="9"/>
      <c r="F1291" s="9"/>
      <c r="G1291" s="9"/>
      <c r="H1291" s="9"/>
      <c r="I1291" s="9"/>
    </row>
    <row r="1292" customFormat="false" ht="15.75" hidden="false" customHeight="false" outlineLevel="0" collapsed="false">
      <c r="A1292" s="9"/>
      <c r="B1292" s="9"/>
      <c r="C1292" s="9"/>
      <c r="D1292" s="9"/>
      <c r="E1292" s="9"/>
      <c r="F1292" s="9"/>
      <c r="G1292" s="9"/>
      <c r="H1292" s="9"/>
      <c r="I1292" s="9"/>
    </row>
    <row r="1293" customFormat="false" ht="15.75" hidden="false" customHeight="false" outlineLevel="0" collapsed="false">
      <c r="A1293" s="9"/>
      <c r="B1293" s="9"/>
      <c r="C1293" s="9"/>
      <c r="D1293" s="9"/>
      <c r="E1293" s="9"/>
      <c r="F1293" s="9"/>
      <c r="G1293" s="9"/>
      <c r="H1293" s="9"/>
      <c r="I1293" s="9"/>
    </row>
    <row r="1294" customFormat="false" ht="15.75" hidden="false" customHeight="false" outlineLevel="0" collapsed="false">
      <c r="A1294" s="9"/>
      <c r="B1294" s="9"/>
      <c r="C1294" s="9"/>
      <c r="D1294" s="9"/>
      <c r="E1294" s="9"/>
      <c r="F1294" s="9"/>
      <c r="G1294" s="9"/>
      <c r="H1294" s="9"/>
      <c r="I1294" s="9"/>
    </row>
    <row r="1295" customFormat="false" ht="15.75" hidden="false" customHeight="false" outlineLevel="0" collapsed="false">
      <c r="A1295" s="9"/>
      <c r="B1295" s="9"/>
      <c r="C1295" s="9"/>
      <c r="D1295" s="9"/>
      <c r="E1295" s="9"/>
      <c r="F1295" s="9"/>
      <c r="G1295" s="9"/>
      <c r="H1295" s="9"/>
      <c r="I1295" s="9"/>
    </row>
    <row r="1296" customFormat="false" ht="15.75" hidden="false" customHeight="false" outlineLevel="0" collapsed="false">
      <c r="A1296" s="9"/>
      <c r="B1296" s="9"/>
      <c r="C1296" s="9"/>
      <c r="D1296" s="9"/>
      <c r="E1296" s="9"/>
      <c r="F1296" s="9"/>
      <c r="G1296" s="9"/>
      <c r="H1296" s="9"/>
      <c r="I1296" s="9"/>
    </row>
    <row r="1297" customFormat="false" ht="15.75" hidden="false" customHeight="false" outlineLevel="0" collapsed="false">
      <c r="A1297" s="9"/>
      <c r="B1297" s="9"/>
      <c r="C1297" s="9"/>
      <c r="D1297" s="9"/>
      <c r="E1297" s="9"/>
      <c r="F1297" s="9"/>
      <c r="G1297" s="9"/>
      <c r="H1297" s="9"/>
      <c r="I1297" s="9"/>
    </row>
    <row r="1298" customFormat="false" ht="15.75" hidden="false" customHeight="false" outlineLevel="0" collapsed="false">
      <c r="A1298" s="9"/>
      <c r="B1298" s="9"/>
      <c r="C1298" s="9"/>
      <c r="D1298" s="9"/>
      <c r="E1298" s="9"/>
      <c r="F1298" s="9"/>
      <c r="G1298" s="9"/>
      <c r="H1298" s="9"/>
      <c r="I1298" s="9"/>
    </row>
    <row r="1299" customFormat="false" ht="15.75" hidden="false" customHeight="false" outlineLevel="0" collapsed="false">
      <c r="A1299" s="9"/>
      <c r="B1299" s="9"/>
      <c r="C1299" s="9"/>
      <c r="D1299" s="9"/>
      <c r="E1299" s="9"/>
      <c r="F1299" s="9"/>
      <c r="G1299" s="9"/>
      <c r="H1299" s="9"/>
      <c r="I1299" s="9"/>
    </row>
    <row r="1300" customFormat="false" ht="15.75" hidden="false" customHeight="false" outlineLevel="0" collapsed="false">
      <c r="A1300" s="9"/>
      <c r="B1300" s="9"/>
      <c r="C1300" s="9"/>
      <c r="D1300" s="9"/>
      <c r="E1300" s="9"/>
      <c r="F1300" s="9"/>
      <c r="G1300" s="9"/>
      <c r="H1300" s="9"/>
      <c r="I1300" s="9"/>
    </row>
    <row r="1301" customFormat="false" ht="15.75" hidden="false" customHeight="false" outlineLevel="0" collapsed="false">
      <c r="A1301" s="9"/>
      <c r="B1301" s="9"/>
      <c r="C1301" s="9"/>
      <c r="D1301" s="9"/>
      <c r="E1301" s="9"/>
      <c r="F1301" s="9"/>
      <c r="G1301" s="9"/>
      <c r="H1301" s="9"/>
      <c r="I1301" s="9"/>
    </row>
    <row r="1302" customFormat="false" ht="15.75" hidden="false" customHeight="false" outlineLevel="0" collapsed="false">
      <c r="A1302" s="9"/>
      <c r="B1302" s="9"/>
      <c r="C1302" s="9"/>
      <c r="D1302" s="9"/>
      <c r="E1302" s="9"/>
      <c r="F1302" s="9"/>
      <c r="G1302" s="9"/>
      <c r="H1302" s="9"/>
      <c r="I1302" s="9"/>
    </row>
    <row r="1303" customFormat="false" ht="15.75" hidden="false" customHeight="false" outlineLevel="0" collapsed="false">
      <c r="A1303" s="9"/>
      <c r="B1303" s="9"/>
      <c r="C1303" s="9"/>
      <c r="D1303" s="9"/>
      <c r="E1303" s="9"/>
      <c r="F1303" s="9"/>
      <c r="G1303" s="9"/>
      <c r="H1303" s="9"/>
      <c r="I1303" s="9"/>
    </row>
    <row r="1304" customFormat="false" ht="15.75" hidden="false" customHeight="false" outlineLevel="0" collapsed="false">
      <c r="A1304" s="9"/>
      <c r="B1304" s="9"/>
      <c r="C1304" s="9"/>
      <c r="D1304" s="9"/>
      <c r="E1304" s="9"/>
      <c r="F1304" s="9"/>
      <c r="G1304" s="9"/>
      <c r="H1304" s="9"/>
      <c r="I1304" s="9"/>
    </row>
    <row r="1305" customFormat="false" ht="15.75" hidden="false" customHeight="false" outlineLevel="0" collapsed="false">
      <c r="A1305" s="9"/>
      <c r="B1305" s="9"/>
      <c r="C1305" s="9"/>
      <c r="D1305" s="9"/>
      <c r="E1305" s="9"/>
      <c r="F1305" s="9"/>
      <c r="G1305" s="9"/>
      <c r="H1305" s="9"/>
      <c r="I1305" s="9"/>
    </row>
    <row r="1306" customFormat="false" ht="15.75" hidden="false" customHeight="false" outlineLevel="0" collapsed="false">
      <c r="A1306" s="9"/>
      <c r="B1306" s="9"/>
      <c r="C1306" s="9"/>
      <c r="D1306" s="9"/>
      <c r="E1306" s="9"/>
      <c r="F1306" s="9"/>
      <c r="G1306" s="9"/>
      <c r="H1306" s="9"/>
      <c r="I1306" s="9"/>
    </row>
    <row r="1307" customFormat="false" ht="15.75" hidden="false" customHeight="false" outlineLevel="0" collapsed="false">
      <c r="A1307" s="9"/>
      <c r="B1307" s="9"/>
      <c r="C1307" s="9"/>
      <c r="D1307" s="9"/>
      <c r="E1307" s="9"/>
      <c r="F1307" s="9"/>
      <c r="G1307" s="9"/>
      <c r="H1307" s="9"/>
      <c r="I1307" s="9"/>
    </row>
    <row r="1308" customFormat="false" ht="15.75" hidden="false" customHeight="false" outlineLevel="0" collapsed="false">
      <c r="A1308" s="9"/>
      <c r="B1308" s="9"/>
      <c r="C1308" s="9"/>
      <c r="D1308" s="9"/>
      <c r="E1308" s="9"/>
      <c r="F1308" s="9"/>
      <c r="G1308" s="9"/>
      <c r="H1308" s="9"/>
      <c r="I1308" s="9"/>
    </row>
    <row r="1309" customFormat="false" ht="15.75" hidden="false" customHeight="false" outlineLevel="0" collapsed="false">
      <c r="A1309" s="9"/>
      <c r="B1309" s="9"/>
      <c r="C1309" s="9"/>
      <c r="D1309" s="9"/>
      <c r="E1309" s="9"/>
      <c r="F1309" s="9"/>
      <c r="G1309" s="9"/>
      <c r="H1309" s="9"/>
      <c r="I1309" s="9"/>
    </row>
    <row r="1310" customFormat="false" ht="15.75" hidden="false" customHeight="false" outlineLevel="0" collapsed="false">
      <c r="A1310" s="9"/>
      <c r="B1310" s="9"/>
      <c r="C1310" s="9"/>
      <c r="D1310" s="9"/>
      <c r="E1310" s="9"/>
      <c r="F1310" s="9"/>
      <c r="G1310" s="9"/>
      <c r="H1310" s="9"/>
      <c r="I1310" s="9"/>
    </row>
    <row r="1311" customFormat="false" ht="15.75" hidden="false" customHeight="false" outlineLevel="0" collapsed="false">
      <c r="A1311" s="9"/>
      <c r="B1311" s="9"/>
      <c r="C1311" s="9"/>
      <c r="D1311" s="9"/>
      <c r="E1311" s="9"/>
      <c r="F1311" s="9"/>
      <c r="G1311" s="9"/>
      <c r="H1311" s="9"/>
      <c r="I1311" s="9"/>
    </row>
    <row r="1312" customFormat="false" ht="15.75" hidden="false" customHeight="false" outlineLevel="0" collapsed="false">
      <c r="A1312" s="9"/>
      <c r="B1312" s="9"/>
      <c r="C1312" s="9"/>
      <c r="D1312" s="9"/>
      <c r="E1312" s="9"/>
      <c r="F1312" s="9"/>
      <c r="G1312" s="9"/>
      <c r="H1312" s="9"/>
      <c r="I1312" s="9"/>
    </row>
    <row r="1313" customFormat="false" ht="15.75" hidden="false" customHeight="false" outlineLevel="0" collapsed="false">
      <c r="A1313" s="9"/>
      <c r="B1313" s="9"/>
      <c r="C1313" s="9"/>
      <c r="D1313" s="9"/>
      <c r="E1313" s="9"/>
      <c r="F1313" s="9"/>
      <c r="G1313" s="9"/>
      <c r="H1313" s="9"/>
      <c r="I1313" s="9"/>
    </row>
    <row r="1314" customFormat="false" ht="15.75" hidden="false" customHeight="false" outlineLevel="0" collapsed="false">
      <c r="A1314" s="9"/>
      <c r="B1314" s="9"/>
      <c r="C1314" s="9"/>
      <c r="D1314" s="9"/>
      <c r="E1314" s="9"/>
      <c r="F1314" s="9"/>
      <c r="G1314" s="9"/>
      <c r="H1314" s="9"/>
      <c r="I1314" s="9"/>
    </row>
    <row r="1315" customFormat="false" ht="15.75" hidden="false" customHeight="false" outlineLevel="0" collapsed="false">
      <c r="A1315" s="9"/>
      <c r="B1315" s="9"/>
      <c r="C1315" s="9"/>
      <c r="D1315" s="9"/>
      <c r="E1315" s="9"/>
      <c r="F1315" s="9"/>
      <c r="G1315" s="9"/>
      <c r="H1315" s="9"/>
      <c r="I1315" s="9"/>
    </row>
    <row r="1316" customFormat="false" ht="15.75" hidden="false" customHeight="false" outlineLevel="0" collapsed="false">
      <c r="A1316" s="9"/>
      <c r="B1316" s="9"/>
      <c r="C1316" s="9"/>
      <c r="D1316" s="9"/>
      <c r="E1316" s="9"/>
      <c r="F1316" s="9"/>
      <c r="G1316" s="9"/>
      <c r="H1316" s="9"/>
      <c r="I1316" s="9"/>
    </row>
    <row r="1317" customFormat="false" ht="15.75" hidden="false" customHeight="false" outlineLevel="0" collapsed="false">
      <c r="A1317" s="9"/>
      <c r="B1317" s="9"/>
      <c r="C1317" s="9"/>
      <c r="D1317" s="9"/>
      <c r="E1317" s="9"/>
      <c r="F1317" s="9"/>
      <c r="G1317" s="9"/>
      <c r="H1317" s="9"/>
      <c r="I1317" s="9"/>
    </row>
    <row r="1318" customFormat="false" ht="15.75" hidden="false" customHeight="false" outlineLevel="0" collapsed="false">
      <c r="A1318" s="9"/>
      <c r="B1318" s="9"/>
      <c r="C1318" s="9"/>
      <c r="D1318" s="9"/>
      <c r="E1318" s="9"/>
      <c r="F1318" s="9"/>
      <c r="G1318" s="9"/>
      <c r="H1318" s="9"/>
      <c r="I1318" s="9"/>
    </row>
    <row r="1319" customFormat="false" ht="15.75" hidden="false" customHeight="false" outlineLevel="0" collapsed="false">
      <c r="A1319" s="9"/>
      <c r="B1319" s="9"/>
      <c r="C1319" s="9"/>
      <c r="D1319" s="9"/>
      <c r="E1319" s="9"/>
      <c r="F1319" s="9"/>
      <c r="G1319" s="9"/>
      <c r="H1319" s="9"/>
      <c r="I1319" s="9"/>
    </row>
    <row r="1320" customFormat="false" ht="15.75" hidden="false" customHeight="false" outlineLevel="0" collapsed="false">
      <c r="A1320" s="9"/>
      <c r="B1320" s="9"/>
      <c r="C1320" s="9"/>
      <c r="D1320" s="9"/>
      <c r="E1320" s="9"/>
      <c r="F1320" s="9"/>
      <c r="G1320" s="9"/>
      <c r="H1320" s="9"/>
      <c r="I1320" s="9"/>
    </row>
    <row r="1321" customFormat="false" ht="15.75" hidden="false" customHeight="false" outlineLevel="0" collapsed="false">
      <c r="A1321" s="9"/>
      <c r="B1321" s="9"/>
      <c r="C1321" s="9"/>
      <c r="D1321" s="9"/>
      <c r="E1321" s="9"/>
      <c r="F1321" s="9"/>
      <c r="G1321" s="9"/>
      <c r="H1321" s="9"/>
      <c r="I1321" s="9"/>
    </row>
    <row r="1322" customFormat="false" ht="15.75" hidden="false" customHeight="false" outlineLevel="0" collapsed="false">
      <c r="A1322" s="9"/>
      <c r="B1322" s="9"/>
      <c r="C1322" s="9"/>
      <c r="D1322" s="9"/>
      <c r="E1322" s="9"/>
      <c r="F1322" s="9"/>
      <c r="G1322" s="9"/>
      <c r="H1322" s="9"/>
      <c r="I1322" s="9"/>
    </row>
    <row r="1323" customFormat="false" ht="15.75" hidden="false" customHeight="false" outlineLevel="0" collapsed="false">
      <c r="A1323" s="9"/>
      <c r="B1323" s="9"/>
      <c r="C1323" s="9"/>
      <c r="D1323" s="9"/>
      <c r="E1323" s="9"/>
      <c r="F1323" s="9"/>
      <c r="G1323" s="9"/>
      <c r="H1323" s="9"/>
      <c r="I1323" s="9"/>
    </row>
    <row r="1324" customFormat="false" ht="15.75" hidden="false" customHeight="false" outlineLevel="0" collapsed="false">
      <c r="A1324" s="9"/>
      <c r="B1324" s="9"/>
      <c r="C1324" s="9"/>
      <c r="D1324" s="9"/>
      <c r="E1324" s="9"/>
      <c r="F1324" s="9"/>
      <c r="G1324" s="9"/>
      <c r="H1324" s="9"/>
      <c r="I1324" s="9"/>
    </row>
    <row r="1325" customFormat="false" ht="15.75" hidden="false" customHeight="false" outlineLevel="0" collapsed="false">
      <c r="A1325" s="9"/>
      <c r="B1325" s="9"/>
      <c r="C1325" s="9"/>
      <c r="D1325" s="9"/>
      <c r="E1325" s="9"/>
      <c r="F1325" s="9"/>
      <c r="G1325" s="9"/>
      <c r="H1325" s="9"/>
      <c r="I1325" s="9"/>
    </row>
    <row r="1326" customFormat="false" ht="15.75" hidden="false" customHeight="false" outlineLevel="0" collapsed="false">
      <c r="A1326" s="9"/>
      <c r="B1326" s="9"/>
      <c r="C1326" s="9"/>
      <c r="D1326" s="9"/>
      <c r="E1326" s="9"/>
      <c r="F1326" s="9"/>
      <c r="G1326" s="9"/>
      <c r="H1326" s="9"/>
      <c r="I1326" s="9"/>
    </row>
    <row r="1327" customFormat="false" ht="15.75" hidden="false" customHeight="false" outlineLevel="0" collapsed="false">
      <c r="A1327" s="9"/>
      <c r="B1327" s="9"/>
      <c r="C1327" s="9"/>
      <c r="D1327" s="9"/>
      <c r="E1327" s="9"/>
      <c r="F1327" s="9"/>
      <c r="G1327" s="9"/>
      <c r="H1327" s="9"/>
      <c r="I1327" s="9"/>
    </row>
    <row r="1328" customFormat="false" ht="15.75" hidden="false" customHeight="false" outlineLevel="0" collapsed="false">
      <c r="A1328" s="9"/>
      <c r="B1328" s="9"/>
      <c r="C1328" s="9"/>
      <c r="D1328" s="9"/>
      <c r="E1328" s="9"/>
      <c r="F1328" s="9"/>
      <c r="G1328" s="9"/>
      <c r="H1328" s="9"/>
      <c r="I1328" s="9"/>
    </row>
    <row r="1329" customFormat="false" ht="15.75" hidden="false" customHeight="false" outlineLevel="0" collapsed="false">
      <c r="A1329" s="9"/>
      <c r="B1329" s="9"/>
      <c r="C1329" s="9"/>
      <c r="D1329" s="9"/>
      <c r="E1329" s="9"/>
      <c r="F1329" s="9"/>
      <c r="G1329" s="9"/>
      <c r="H1329" s="9"/>
      <c r="I1329" s="9"/>
    </row>
    <row r="1330" customFormat="false" ht="15.75" hidden="false" customHeight="false" outlineLevel="0" collapsed="false">
      <c r="A1330" s="9"/>
      <c r="B1330" s="9"/>
      <c r="C1330" s="9"/>
      <c r="D1330" s="9"/>
      <c r="E1330" s="9"/>
      <c r="F1330" s="9"/>
      <c r="G1330" s="9"/>
      <c r="H1330" s="9"/>
      <c r="I1330" s="9"/>
    </row>
    <row r="1331" customFormat="false" ht="15.75" hidden="false" customHeight="false" outlineLevel="0" collapsed="false">
      <c r="A1331" s="9"/>
      <c r="B1331" s="9"/>
      <c r="C1331" s="9"/>
      <c r="D1331" s="9"/>
      <c r="E1331" s="9"/>
      <c r="F1331" s="9"/>
      <c r="G1331" s="9"/>
      <c r="H1331" s="9"/>
      <c r="I1331" s="9"/>
    </row>
    <row r="1332" customFormat="false" ht="15.75" hidden="false" customHeight="false" outlineLevel="0" collapsed="false">
      <c r="A1332" s="9"/>
      <c r="B1332" s="9"/>
      <c r="C1332" s="9"/>
      <c r="D1332" s="9"/>
      <c r="E1332" s="9"/>
      <c r="F1332" s="9"/>
      <c r="G1332" s="9"/>
      <c r="H1332" s="9"/>
      <c r="I1332" s="9"/>
    </row>
    <row r="1333" customFormat="false" ht="15.75" hidden="false" customHeight="false" outlineLevel="0" collapsed="false">
      <c r="A1333" s="9"/>
      <c r="B1333" s="9"/>
      <c r="C1333" s="9"/>
      <c r="D1333" s="9"/>
      <c r="E1333" s="9"/>
      <c r="F1333" s="9"/>
      <c r="G1333" s="9"/>
      <c r="H1333" s="9"/>
      <c r="I1333" s="9"/>
    </row>
    <row r="1334" customFormat="false" ht="15.75" hidden="false" customHeight="false" outlineLevel="0" collapsed="false">
      <c r="A1334" s="9"/>
      <c r="B1334" s="9"/>
      <c r="C1334" s="9"/>
      <c r="D1334" s="9"/>
      <c r="E1334" s="9"/>
      <c r="F1334" s="9"/>
      <c r="G1334" s="9"/>
      <c r="H1334" s="9"/>
      <c r="I1334" s="9"/>
    </row>
    <row r="1335" customFormat="false" ht="15.75" hidden="false" customHeight="false" outlineLevel="0" collapsed="false">
      <c r="A1335" s="9"/>
      <c r="B1335" s="9"/>
      <c r="C1335" s="9"/>
      <c r="D1335" s="9"/>
      <c r="E1335" s="9"/>
      <c r="F1335" s="9"/>
      <c r="G1335" s="9"/>
      <c r="H1335" s="9"/>
      <c r="I1335" s="9"/>
    </row>
    <row r="1336" customFormat="false" ht="15.75" hidden="false" customHeight="false" outlineLevel="0" collapsed="false">
      <c r="A1336" s="9"/>
      <c r="B1336" s="9"/>
      <c r="C1336" s="9"/>
      <c r="D1336" s="9"/>
      <c r="E1336" s="9"/>
      <c r="F1336" s="9"/>
      <c r="G1336" s="9"/>
      <c r="H1336" s="9"/>
      <c r="I1336" s="9"/>
    </row>
    <row r="1337" customFormat="false" ht="15.75" hidden="false" customHeight="false" outlineLevel="0" collapsed="false">
      <c r="A1337" s="9"/>
      <c r="B1337" s="9"/>
      <c r="C1337" s="9"/>
      <c r="D1337" s="9"/>
      <c r="E1337" s="9"/>
      <c r="F1337" s="9"/>
      <c r="G1337" s="9"/>
      <c r="H1337" s="9"/>
      <c r="I1337" s="9"/>
    </row>
    <row r="1338" customFormat="false" ht="15.75" hidden="false" customHeight="false" outlineLevel="0" collapsed="false">
      <c r="A1338" s="9"/>
      <c r="B1338" s="9"/>
      <c r="C1338" s="9"/>
      <c r="D1338" s="9"/>
      <c r="E1338" s="9"/>
      <c r="F1338" s="9"/>
      <c r="G1338" s="9"/>
      <c r="H1338" s="9"/>
      <c r="I1338" s="9"/>
    </row>
    <row r="1339" customFormat="false" ht="15.75" hidden="false" customHeight="false" outlineLevel="0" collapsed="false">
      <c r="A1339" s="9"/>
      <c r="B1339" s="9"/>
      <c r="C1339" s="9"/>
      <c r="D1339" s="9"/>
      <c r="E1339" s="9"/>
      <c r="F1339" s="9"/>
      <c r="G1339" s="9"/>
      <c r="H1339" s="9"/>
      <c r="I1339" s="9"/>
    </row>
    <row r="1340" customFormat="false" ht="15.75" hidden="false" customHeight="false" outlineLevel="0" collapsed="false">
      <c r="A1340" s="9"/>
      <c r="B1340" s="9"/>
      <c r="C1340" s="9"/>
      <c r="D1340" s="9"/>
      <c r="E1340" s="9"/>
      <c r="F1340" s="9"/>
      <c r="G1340" s="9"/>
      <c r="H1340" s="9"/>
      <c r="I1340" s="9"/>
    </row>
    <row r="1341" customFormat="false" ht="15.75" hidden="false" customHeight="false" outlineLevel="0" collapsed="false">
      <c r="A1341" s="9"/>
      <c r="B1341" s="9"/>
      <c r="C1341" s="9"/>
      <c r="D1341" s="9"/>
      <c r="E1341" s="9"/>
      <c r="F1341" s="9"/>
      <c r="G1341" s="9"/>
      <c r="H1341" s="9"/>
      <c r="I1341" s="9"/>
    </row>
    <row r="1342" customFormat="false" ht="15.75" hidden="false" customHeight="false" outlineLevel="0" collapsed="false">
      <c r="A1342" s="9"/>
      <c r="B1342" s="9"/>
      <c r="C1342" s="9"/>
      <c r="D1342" s="9"/>
      <c r="E1342" s="9"/>
      <c r="F1342" s="9"/>
      <c r="G1342" s="9"/>
      <c r="H1342" s="9"/>
      <c r="I1342" s="9"/>
    </row>
    <row r="1343" customFormat="false" ht="15.75" hidden="false" customHeight="false" outlineLevel="0" collapsed="false">
      <c r="A1343" s="9"/>
      <c r="B1343" s="9"/>
      <c r="C1343" s="9"/>
      <c r="D1343" s="9"/>
      <c r="E1343" s="9"/>
      <c r="F1343" s="9"/>
      <c r="G1343" s="9"/>
      <c r="H1343" s="9"/>
      <c r="I1343" s="9"/>
    </row>
    <row r="1344" customFormat="false" ht="15.75" hidden="false" customHeight="false" outlineLevel="0" collapsed="false">
      <c r="A1344" s="9"/>
      <c r="B1344" s="9"/>
      <c r="C1344" s="9"/>
      <c r="D1344" s="9"/>
      <c r="E1344" s="9"/>
      <c r="F1344" s="9"/>
      <c r="G1344" s="9"/>
      <c r="H1344" s="9"/>
      <c r="I1344" s="9"/>
    </row>
    <row r="1345" customFormat="false" ht="15.75" hidden="false" customHeight="false" outlineLevel="0" collapsed="false">
      <c r="A1345" s="9"/>
      <c r="B1345" s="9"/>
      <c r="C1345" s="9"/>
      <c r="D1345" s="9"/>
      <c r="E1345" s="9"/>
      <c r="F1345" s="9"/>
      <c r="G1345" s="9"/>
      <c r="H1345" s="9"/>
      <c r="I1345" s="9"/>
    </row>
    <row r="1346" customFormat="false" ht="15.75" hidden="false" customHeight="false" outlineLevel="0" collapsed="false">
      <c r="A1346" s="9"/>
      <c r="B1346" s="9"/>
      <c r="C1346" s="9"/>
      <c r="D1346" s="9"/>
      <c r="E1346" s="9"/>
      <c r="F1346" s="9"/>
      <c r="G1346" s="9"/>
      <c r="H1346" s="9"/>
      <c r="I1346" s="9"/>
    </row>
    <row r="1347" customFormat="false" ht="15.75" hidden="false" customHeight="false" outlineLevel="0" collapsed="false">
      <c r="A1347" s="9"/>
      <c r="B1347" s="9"/>
      <c r="C1347" s="9"/>
      <c r="D1347" s="9"/>
      <c r="E1347" s="9"/>
      <c r="F1347" s="9"/>
      <c r="G1347" s="9"/>
      <c r="H1347" s="9"/>
      <c r="I1347" s="9"/>
    </row>
    <row r="1348" customFormat="false" ht="15.75" hidden="false" customHeight="false" outlineLevel="0" collapsed="false">
      <c r="A1348" s="9"/>
      <c r="B1348" s="9"/>
      <c r="C1348" s="9"/>
      <c r="D1348" s="9"/>
      <c r="E1348" s="9"/>
      <c r="F1348" s="9"/>
      <c r="G1348" s="9"/>
      <c r="H1348" s="9"/>
      <c r="I1348" s="9"/>
    </row>
    <row r="1349" customFormat="false" ht="15.75" hidden="false" customHeight="false" outlineLevel="0" collapsed="false">
      <c r="A1349" s="9"/>
      <c r="B1349" s="9"/>
      <c r="C1349" s="9"/>
      <c r="D1349" s="9"/>
      <c r="E1349" s="9"/>
      <c r="F1349" s="9"/>
      <c r="G1349" s="9"/>
      <c r="H1349" s="9"/>
      <c r="I1349" s="9"/>
    </row>
    <row r="1350" customFormat="false" ht="15.75" hidden="false" customHeight="false" outlineLevel="0" collapsed="false">
      <c r="A1350" s="9"/>
      <c r="B1350" s="9"/>
      <c r="C1350" s="9"/>
      <c r="D1350" s="9"/>
      <c r="E1350" s="9"/>
      <c r="F1350" s="9"/>
      <c r="G1350" s="9"/>
      <c r="H1350" s="9"/>
      <c r="I1350" s="9"/>
    </row>
    <row r="1351" customFormat="false" ht="15.75" hidden="false" customHeight="false" outlineLevel="0" collapsed="false">
      <c r="A1351" s="9"/>
      <c r="B1351" s="9"/>
      <c r="C1351" s="9"/>
      <c r="D1351" s="9"/>
      <c r="E1351" s="9"/>
      <c r="F1351" s="9"/>
      <c r="G1351" s="9"/>
      <c r="H1351" s="9"/>
      <c r="I1351" s="9"/>
    </row>
    <row r="1352" customFormat="false" ht="15.75" hidden="false" customHeight="false" outlineLevel="0" collapsed="false">
      <c r="A1352" s="9"/>
      <c r="B1352" s="9"/>
      <c r="C1352" s="9"/>
      <c r="D1352" s="9"/>
      <c r="E1352" s="9"/>
      <c r="F1352" s="9"/>
      <c r="G1352" s="9"/>
      <c r="H1352" s="9"/>
      <c r="I1352" s="9"/>
    </row>
    <row r="1353" customFormat="false" ht="15.75" hidden="false" customHeight="false" outlineLevel="0" collapsed="false">
      <c r="A1353" s="9"/>
      <c r="B1353" s="9"/>
      <c r="C1353" s="9"/>
      <c r="D1353" s="9"/>
      <c r="E1353" s="9"/>
      <c r="F1353" s="9"/>
      <c r="G1353" s="9"/>
      <c r="H1353" s="9"/>
      <c r="I1353" s="9"/>
    </row>
    <row r="1354" customFormat="false" ht="15.75" hidden="false" customHeight="false" outlineLevel="0" collapsed="false">
      <c r="A1354" s="9"/>
      <c r="B1354" s="9"/>
      <c r="C1354" s="9"/>
      <c r="D1354" s="9"/>
      <c r="E1354" s="9"/>
      <c r="F1354" s="9"/>
      <c r="G1354" s="9"/>
      <c r="H1354" s="9"/>
      <c r="I1354" s="9"/>
    </row>
    <row r="1355" customFormat="false" ht="15.75" hidden="false" customHeight="false" outlineLevel="0" collapsed="false">
      <c r="A1355" s="9"/>
      <c r="B1355" s="9"/>
      <c r="C1355" s="9"/>
      <c r="D1355" s="9"/>
      <c r="E1355" s="9"/>
      <c r="F1355" s="9"/>
      <c r="G1355" s="9"/>
      <c r="H1355" s="9"/>
      <c r="I1355" s="9"/>
    </row>
    <row r="1356" customFormat="false" ht="15.75" hidden="false" customHeight="false" outlineLevel="0" collapsed="false">
      <c r="A1356" s="9"/>
      <c r="B1356" s="9"/>
      <c r="C1356" s="9"/>
      <c r="D1356" s="9"/>
      <c r="E1356" s="9"/>
      <c r="F1356" s="9"/>
      <c r="G1356" s="9"/>
      <c r="H1356" s="9"/>
      <c r="I1356" s="9"/>
    </row>
    <row r="1357" customFormat="false" ht="15.75" hidden="false" customHeight="false" outlineLevel="0" collapsed="false">
      <c r="A1357" s="9"/>
      <c r="B1357" s="9"/>
      <c r="C1357" s="9"/>
      <c r="D1357" s="9"/>
      <c r="E1357" s="9"/>
      <c r="F1357" s="9"/>
      <c r="G1357" s="9"/>
      <c r="H1357" s="9"/>
      <c r="I1357" s="9"/>
    </row>
    <row r="1358" customFormat="false" ht="15.75" hidden="false" customHeight="false" outlineLevel="0" collapsed="false">
      <c r="A1358" s="9"/>
      <c r="B1358" s="9"/>
      <c r="C1358" s="9"/>
      <c r="D1358" s="9"/>
      <c r="E1358" s="9"/>
      <c r="F1358" s="9"/>
      <c r="G1358" s="9"/>
      <c r="H1358" s="9"/>
      <c r="I1358" s="9"/>
    </row>
    <row r="1359" customFormat="false" ht="15.75" hidden="false" customHeight="false" outlineLevel="0" collapsed="false">
      <c r="A1359" s="9"/>
      <c r="B1359" s="9"/>
      <c r="C1359" s="9"/>
      <c r="D1359" s="9"/>
      <c r="E1359" s="9"/>
      <c r="F1359" s="9"/>
      <c r="G1359" s="9"/>
      <c r="H1359" s="9"/>
      <c r="I1359" s="9"/>
    </row>
    <row r="1360" customFormat="false" ht="15.75" hidden="false" customHeight="false" outlineLevel="0" collapsed="false">
      <c r="A1360" s="9"/>
      <c r="B1360" s="9"/>
      <c r="C1360" s="9"/>
      <c r="D1360" s="9"/>
      <c r="E1360" s="9"/>
      <c r="F1360" s="9"/>
      <c r="G1360" s="9"/>
      <c r="H1360" s="9"/>
      <c r="I1360" s="9"/>
    </row>
    <row r="1361" customFormat="false" ht="15.75" hidden="false" customHeight="false" outlineLevel="0" collapsed="false">
      <c r="A1361" s="9"/>
      <c r="B1361" s="9"/>
      <c r="C1361" s="9"/>
      <c r="D1361" s="9"/>
      <c r="E1361" s="9"/>
      <c r="F1361" s="9"/>
      <c r="G1361" s="9"/>
      <c r="H1361" s="9"/>
      <c r="I1361" s="9"/>
    </row>
    <row r="1362" customFormat="false" ht="15.75" hidden="false" customHeight="false" outlineLevel="0" collapsed="false">
      <c r="A1362" s="9"/>
      <c r="B1362" s="9"/>
      <c r="C1362" s="9"/>
      <c r="D1362" s="9"/>
      <c r="E1362" s="9"/>
      <c r="F1362" s="9"/>
      <c r="G1362" s="9"/>
      <c r="H1362" s="9"/>
      <c r="I1362" s="9"/>
    </row>
    <row r="1363" customFormat="false" ht="15.75" hidden="false" customHeight="false" outlineLevel="0" collapsed="false">
      <c r="A1363" s="9"/>
      <c r="B1363" s="9"/>
      <c r="C1363" s="9"/>
      <c r="D1363" s="9"/>
      <c r="E1363" s="9"/>
      <c r="F1363" s="9"/>
      <c r="G1363" s="9"/>
      <c r="H1363" s="9"/>
      <c r="I1363" s="9"/>
    </row>
    <row r="1364" customFormat="false" ht="15.75" hidden="false" customHeight="false" outlineLevel="0" collapsed="false">
      <c r="A1364" s="9"/>
      <c r="B1364" s="9"/>
      <c r="C1364" s="9"/>
      <c r="D1364" s="9"/>
      <c r="E1364" s="9"/>
      <c r="F1364" s="9"/>
      <c r="G1364" s="9"/>
      <c r="H1364" s="9"/>
      <c r="I1364" s="9"/>
    </row>
    <row r="1365" customFormat="false" ht="15.75" hidden="false" customHeight="false" outlineLevel="0" collapsed="false">
      <c r="A1365" s="9"/>
      <c r="B1365" s="9"/>
      <c r="C1365" s="9"/>
      <c r="D1365" s="9"/>
      <c r="E1365" s="9"/>
      <c r="F1365" s="9"/>
      <c r="G1365" s="9"/>
      <c r="H1365" s="9"/>
      <c r="I1365" s="9"/>
    </row>
    <row r="1366" customFormat="false" ht="15.75" hidden="false" customHeight="false" outlineLevel="0" collapsed="false">
      <c r="A1366" s="9"/>
      <c r="B1366" s="9"/>
      <c r="C1366" s="9"/>
      <c r="D1366" s="9"/>
      <c r="E1366" s="9"/>
      <c r="F1366" s="9"/>
      <c r="G1366" s="9"/>
      <c r="H1366" s="9"/>
      <c r="I1366" s="9"/>
    </row>
    <row r="1367" customFormat="false" ht="15.75" hidden="false" customHeight="false" outlineLevel="0" collapsed="false">
      <c r="A1367" s="9"/>
      <c r="B1367" s="9"/>
      <c r="C1367" s="9"/>
      <c r="D1367" s="9"/>
      <c r="E1367" s="9"/>
      <c r="F1367" s="9"/>
      <c r="G1367" s="9"/>
      <c r="H1367" s="9"/>
      <c r="I1367" s="9"/>
    </row>
    <row r="1368" customFormat="false" ht="15.75" hidden="false" customHeight="false" outlineLevel="0" collapsed="false">
      <c r="A1368" s="9"/>
      <c r="B1368" s="9"/>
      <c r="C1368" s="9"/>
      <c r="D1368" s="9"/>
      <c r="E1368" s="9"/>
      <c r="F1368" s="9"/>
      <c r="G1368" s="9"/>
      <c r="H1368" s="9"/>
      <c r="I1368" s="9"/>
    </row>
    <row r="1369" customFormat="false" ht="15.75" hidden="false" customHeight="false" outlineLevel="0" collapsed="false">
      <c r="A1369" s="9"/>
      <c r="B1369" s="9"/>
      <c r="C1369" s="9"/>
      <c r="D1369" s="9"/>
      <c r="E1369" s="9"/>
      <c r="F1369" s="9"/>
      <c r="G1369" s="9"/>
      <c r="H1369" s="9"/>
      <c r="I1369" s="9"/>
    </row>
    <row r="1370" customFormat="false" ht="15.75" hidden="false" customHeight="false" outlineLevel="0" collapsed="false">
      <c r="A1370" s="9"/>
      <c r="B1370" s="9"/>
      <c r="C1370" s="9"/>
      <c r="D1370" s="9"/>
      <c r="E1370" s="9"/>
      <c r="F1370" s="9"/>
      <c r="G1370" s="9"/>
      <c r="H1370" s="9"/>
      <c r="I1370" s="9"/>
    </row>
    <row r="1371" customFormat="false" ht="15.75" hidden="false" customHeight="false" outlineLevel="0" collapsed="false">
      <c r="A1371" s="9"/>
      <c r="B1371" s="9"/>
      <c r="C1371" s="9"/>
      <c r="D1371" s="9"/>
      <c r="E1371" s="9"/>
      <c r="F1371" s="9"/>
      <c r="G1371" s="9"/>
      <c r="H1371" s="9"/>
      <c r="I1371" s="9"/>
    </row>
    <row r="1372" customFormat="false" ht="15.75" hidden="false" customHeight="false" outlineLevel="0" collapsed="false">
      <c r="A1372" s="9"/>
      <c r="B1372" s="9"/>
      <c r="C1372" s="9"/>
      <c r="D1372" s="9"/>
      <c r="E1372" s="9"/>
      <c r="F1372" s="9"/>
      <c r="G1372" s="9"/>
      <c r="H1372" s="9"/>
      <c r="I1372" s="9"/>
    </row>
    <row r="1373" customFormat="false" ht="15.75" hidden="false" customHeight="false" outlineLevel="0" collapsed="false">
      <c r="A1373" s="9"/>
      <c r="B1373" s="9"/>
      <c r="C1373" s="9"/>
      <c r="D1373" s="9"/>
      <c r="E1373" s="9"/>
      <c r="F1373" s="9"/>
      <c r="G1373" s="9"/>
      <c r="H1373" s="9"/>
      <c r="I1373" s="9"/>
    </row>
    <row r="1374" customFormat="false" ht="15.75" hidden="false" customHeight="false" outlineLevel="0" collapsed="false">
      <c r="A1374" s="9"/>
      <c r="B1374" s="9"/>
      <c r="C1374" s="9"/>
      <c r="D1374" s="9"/>
      <c r="E1374" s="9"/>
      <c r="F1374" s="9"/>
      <c r="G1374" s="9"/>
      <c r="H1374" s="9"/>
      <c r="I1374" s="9"/>
    </row>
    <row r="1375" customFormat="false" ht="15.75" hidden="false" customHeight="false" outlineLevel="0" collapsed="false">
      <c r="A1375" s="9"/>
      <c r="B1375" s="9"/>
      <c r="C1375" s="9"/>
      <c r="D1375" s="9"/>
      <c r="E1375" s="9"/>
      <c r="F1375" s="9"/>
      <c r="G1375" s="9"/>
      <c r="H1375" s="9"/>
      <c r="I1375" s="9"/>
    </row>
    <row r="1376" customFormat="false" ht="15.75" hidden="false" customHeight="false" outlineLevel="0" collapsed="false">
      <c r="A1376" s="9"/>
      <c r="B1376" s="9"/>
      <c r="C1376" s="9"/>
      <c r="D1376" s="9"/>
      <c r="E1376" s="9"/>
      <c r="F1376" s="9"/>
      <c r="G1376" s="9"/>
      <c r="H1376" s="9"/>
      <c r="I1376" s="9"/>
    </row>
    <row r="1377" customFormat="false" ht="15.75" hidden="false" customHeight="false" outlineLevel="0" collapsed="false">
      <c r="A1377" s="9"/>
      <c r="B1377" s="9"/>
      <c r="C1377" s="9"/>
      <c r="D1377" s="9"/>
      <c r="E1377" s="9"/>
      <c r="F1377" s="9"/>
      <c r="G1377" s="9"/>
      <c r="H1377" s="9"/>
      <c r="I1377" s="9"/>
    </row>
    <row r="1378" customFormat="false" ht="15.75" hidden="false" customHeight="false" outlineLevel="0" collapsed="false">
      <c r="A1378" s="9"/>
      <c r="B1378" s="9"/>
      <c r="C1378" s="9"/>
      <c r="D1378" s="9"/>
      <c r="E1378" s="9"/>
      <c r="F1378" s="9"/>
      <c r="G1378" s="9"/>
      <c r="H1378" s="9"/>
      <c r="I1378" s="9"/>
    </row>
    <row r="1379" customFormat="false" ht="15.75" hidden="false" customHeight="false" outlineLevel="0" collapsed="false">
      <c r="A1379" s="9"/>
      <c r="B1379" s="9"/>
      <c r="C1379" s="9"/>
      <c r="D1379" s="9"/>
      <c r="E1379" s="9"/>
      <c r="F1379" s="9"/>
      <c r="G1379" s="9"/>
      <c r="H1379" s="9"/>
      <c r="I1379" s="9"/>
    </row>
    <row r="1380" customFormat="false" ht="15.75" hidden="false" customHeight="false" outlineLevel="0" collapsed="false">
      <c r="A1380" s="9"/>
      <c r="B1380" s="9"/>
      <c r="C1380" s="9"/>
      <c r="D1380" s="9"/>
      <c r="E1380" s="9"/>
      <c r="F1380" s="9"/>
      <c r="G1380" s="9"/>
      <c r="H1380" s="9"/>
      <c r="I1380" s="9"/>
    </row>
    <row r="1381" customFormat="false" ht="15.75" hidden="false" customHeight="false" outlineLevel="0" collapsed="false">
      <c r="A1381" s="9"/>
      <c r="B1381" s="9"/>
      <c r="C1381" s="9"/>
      <c r="D1381" s="9"/>
      <c r="E1381" s="9"/>
      <c r="F1381" s="9"/>
      <c r="G1381" s="9"/>
      <c r="H1381" s="9"/>
      <c r="I1381" s="9"/>
    </row>
    <row r="1382" customFormat="false" ht="15.75" hidden="false" customHeight="false" outlineLevel="0" collapsed="false">
      <c r="A1382" s="9"/>
      <c r="B1382" s="9"/>
      <c r="C1382" s="9"/>
      <c r="D1382" s="9"/>
      <c r="E1382" s="9"/>
      <c r="F1382" s="9"/>
      <c r="G1382" s="9"/>
      <c r="H1382" s="9"/>
      <c r="I1382" s="9"/>
    </row>
    <row r="1383" customFormat="false" ht="15.75" hidden="false" customHeight="false" outlineLevel="0" collapsed="false">
      <c r="A1383" s="9"/>
      <c r="B1383" s="9"/>
      <c r="C1383" s="9"/>
      <c r="D1383" s="9"/>
      <c r="E1383" s="9"/>
      <c r="F1383" s="9"/>
      <c r="G1383" s="9"/>
      <c r="H1383" s="9"/>
      <c r="I1383" s="9"/>
    </row>
    <row r="1384" customFormat="false" ht="15.75" hidden="false" customHeight="false" outlineLevel="0" collapsed="false">
      <c r="A1384" s="9"/>
      <c r="B1384" s="9"/>
      <c r="C1384" s="9"/>
      <c r="D1384" s="9"/>
      <c r="E1384" s="9"/>
      <c r="F1384" s="9"/>
      <c r="G1384" s="9"/>
      <c r="H1384" s="9"/>
      <c r="I1384" s="9"/>
    </row>
    <row r="1385" customFormat="false" ht="15.75" hidden="false" customHeight="false" outlineLevel="0" collapsed="false">
      <c r="A1385" s="9"/>
      <c r="B1385" s="9"/>
      <c r="C1385" s="9"/>
      <c r="D1385" s="9"/>
      <c r="E1385" s="9"/>
      <c r="F1385" s="9"/>
      <c r="G1385" s="9"/>
      <c r="H1385" s="9"/>
      <c r="I1385" s="9"/>
    </row>
    <row r="1386" customFormat="false" ht="15.75" hidden="false" customHeight="false" outlineLevel="0" collapsed="false">
      <c r="A1386" s="9"/>
      <c r="B1386" s="9"/>
      <c r="C1386" s="9"/>
      <c r="D1386" s="9"/>
      <c r="E1386" s="9"/>
      <c r="F1386" s="9"/>
      <c r="G1386" s="9"/>
      <c r="H1386" s="9"/>
      <c r="I1386" s="9"/>
    </row>
    <row r="1387" customFormat="false" ht="15.75" hidden="false" customHeight="false" outlineLevel="0" collapsed="false">
      <c r="A1387" s="9"/>
      <c r="B1387" s="9"/>
      <c r="C1387" s="9"/>
      <c r="D1387" s="9"/>
      <c r="E1387" s="9"/>
      <c r="F1387" s="9"/>
      <c r="G1387" s="9"/>
      <c r="H1387" s="9"/>
      <c r="I1387" s="9"/>
    </row>
    <row r="1388" customFormat="false" ht="15.75" hidden="false" customHeight="false" outlineLevel="0" collapsed="false">
      <c r="A1388" s="9"/>
      <c r="B1388" s="9"/>
      <c r="C1388" s="9"/>
      <c r="D1388" s="9"/>
      <c r="E1388" s="9"/>
      <c r="F1388" s="9"/>
      <c r="G1388" s="9"/>
      <c r="H1388" s="9"/>
      <c r="I1388" s="9"/>
    </row>
    <row r="1389" customFormat="false" ht="15.75" hidden="false" customHeight="false" outlineLevel="0" collapsed="false">
      <c r="A1389" s="9"/>
      <c r="B1389" s="9"/>
      <c r="C1389" s="9"/>
      <c r="D1389" s="9"/>
      <c r="E1389" s="9"/>
      <c r="F1389" s="9"/>
      <c r="G1389" s="9"/>
      <c r="H1389" s="9"/>
      <c r="I1389" s="9"/>
    </row>
    <row r="1390" customFormat="false" ht="15.75" hidden="false" customHeight="false" outlineLevel="0" collapsed="false">
      <c r="A1390" s="9"/>
      <c r="B1390" s="9"/>
      <c r="C1390" s="9"/>
      <c r="D1390" s="9"/>
      <c r="E1390" s="9"/>
      <c r="F1390" s="9"/>
      <c r="G1390" s="9"/>
      <c r="H1390" s="9"/>
      <c r="I1390" s="9"/>
    </row>
    <row r="1391" customFormat="false" ht="15.75" hidden="false" customHeight="false" outlineLevel="0" collapsed="false">
      <c r="A1391" s="9"/>
      <c r="B1391" s="9"/>
      <c r="C1391" s="9"/>
      <c r="D1391" s="9"/>
      <c r="E1391" s="9"/>
      <c r="F1391" s="9"/>
      <c r="G1391" s="9"/>
      <c r="H1391" s="9"/>
      <c r="I1391" s="9"/>
    </row>
    <row r="1392" customFormat="false" ht="15.75" hidden="false" customHeight="false" outlineLevel="0" collapsed="false">
      <c r="A1392" s="9"/>
      <c r="B1392" s="9"/>
      <c r="C1392" s="9"/>
      <c r="D1392" s="9"/>
      <c r="E1392" s="9"/>
      <c r="F1392" s="9"/>
      <c r="G1392" s="9"/>
      <c r="H1392" s="9"/>
      <c r="I1392" s="9"/>
    </row>
    <row r="1393" customFormat="false" ht="15.75" hidden="false" customHeight="false" outlineLevel="0" collapsed="false">
      <c r="A1393" s="9"/>
      <c r="B1393" s="9"/>
      <c r="C1393" s="9"/>
      <c r="D1393" s="9"/>
      <c r="E1393" s="9"/>
      <c r="F1393" s="9"/>
      <c r="G1393" s="9"/>
      <c r="H1393" s="9"/>
      <c r="I1393" s="9"/>
    </row>
    <row r="1394" customFormat="false" ht="15.75" hidden="false" customHeight="false" outlineLevel="0" collapsed="false">
      <c r="A1394" s="9"/>
      <c r="B1394" s="9"/>
      <c r="C1394" s="9"/>
      <c r="D1394" s="9"/>
      <c r="E1394" s="9"/>
      <c r="F1394" s="9"/>
      <c r="G1394" s="9"/>
      <c r="H1394" s="9"/>
      <c r="I1394" s="9"/>
    </row>
    <row r="1395" customFormat="false" ht="15.75" hidden="false" customHeight="false" outlineLevel="0" collapsed="false">
      <c r="A1395" s="9"/>
      <c r="B1395" s="9"/>
      <c r="C1395" s="9"/>
      <c r="D1395" s="9"/>
      <c r="E1395" s="9"/>
      <c r="F1395" s="9"/>
      <c r="G1395" s="9"/>
      <c r="H1395" s="9"/>
      <c r="I1395" s="9"/>
    </row>
    <row r="1396" customFormat="false" ht="15.75" hidden="false" customHeight="false" outlineLevel="0" collapsed="false">
      <c r="A1396" s="9"/>
      <c r="B1396" s="9"/>
      <c r="C1396" s="9"/>
      <c r="D1396" s="9"/>
      <c r="E1396" s="9"/>
      <c r="F1396" s="9"/>
      <c r="G1396" s="9"/>
      <c r="H1396" s="9"/>
      <c r="I1396" s="9"/>
    </row>
    <row r="1397" customFormat="false" ht="15.75" hidden="false" customHeight="false" outlineLevel="0" collapsed="false">
      <c r="A1397" s="9"/>
      <c r="B1397" s="9"/>
      <c r="C1397" s="9"/>
      <c r="D1397" s="9"/>
      <c r="E1397" s="9"/>
      <c r="F1397" s="9"/>
      <c r="G1397" s="9"/>
      <c r="H1397" s="9"/>
      <c r="I1397" s="9"/>
    </row>
    <row r="1398" customFormat="false" ht="15.75" hidden="false" customHeight="false" outlineLevel="0" collapsed="false">
      <c r="A1398" s="9"/>
      <c r="B1398" s="9"/>
      <c r="C1398" s="9"/>
      <c r="D1398" s="9"/>
      <c r="E1398" s="9"/>
      <c r="F1398" s="9"/>
      <c r="G1398" s="9"/>
      <c r="H1398" s="9"/>
      <c r="I1398" s="9"/>
    </row>
    <row r="1399" customFormat="false" ht="15.75" hidden="false" customHeight="false" outlineLevel="0" collapsed="false">
      <c r="A1399" s="9"/>
      <c r="B1399" s="9"/>
      <c r="C1399" s="9"/>
      <c r="D1399" s="9"/>
      <c r="E1399" s="9"/>
      <c r="F1399" s="9"/>
      <c r="G1399" s="9"/>
      <c r="H1399" s="9"/>
      <c r="I1399" s="9"/>
    </row>
    <row r="1400" customFormat="false" ht="15.75" hidden="false" customHeight="false" outlineLevel="0" collapsed="false">
      <c r="A1400" s="9"/>
      <c r="B1400" s="9"/>
      <c r="C1400" s="9"/>
      <c r="D1400" s="9"/>
      <c r="E1400" s="9"/>
      <c r="F1400" s="9"/>
      <c r="G1400" s="9"/>
      <c r="H1400" s="9"/>
      <c r="I1400" s="9"/>
    </row>
    <row r="1401" customFormat="false" ht="15.75" hidden="false" customHeight="false" outlineLevel="0" collapsed="false">
      <c r="A1401" s="9"/>
      <c r="B1401" s="9"/>
      <c r="C1401" s="9"/>
      <c r="D1401" s="9"/>
      <c r="E1401" s="9"/>
      <c r="F1401" s="9"/>
      <c r="G1401" s="9"/>
      <c r="H1401" s="9"/>
      <c r="I1401" s="9"/>
    </row>
    <row r="1402" customFormat="false" ht="15.75" hidden="false" customHeight="false" outlineLevel="0" collapsed="false">
      <c r="A1402" s="9"/>
      <c r="B1402" s="9"/>
      <c r="C1402" s="9"/>
      <c r="D1402" s="9"/>
      <c r="E1402" s="9"/>
      <c r="F1402" s="9"/>
      <c r="G1402" s="9"/>
      <c r="H1402" s="9"/>
      <c r="I1402" s="9"/>
    </row>
    <row r="1403" customFormat="false" ht="15.75" hidden="false" customHeight="false" outlineLevel="0" collapsed="false">
      <c r="A1403" s="9"/>
      <c r="B1403" s="9"/>
      <c r="C1403" s="9"/>
      <c r="D1403" s="9"/>
      <c r="E1403" s="9"/>
      <c r="F1403" s="9"/>
      <c r="G1403" s="9"/>
      <c r="H1403" s="9"/>
      <c r="I1403" s="9"/>
    </row>
    <row r="1404" customFormat="false" ht="15.75" hidden="false" customHeight="false" outlineLevel="0" collapsed="false">
      <c r="A1404" s="9"/>
      <c r="B1404" s="9"/>
      <c r="C1404" s="9"/>
      <c r="D1404" s="9"/>
      <c r="E1404" s="9"/>
      <c r="F1404" s="9"/>
      <c r="G1404" s="9"/>
      <c r="H1404" s="9"/>
      <c r="I1404" s="9"/>
    </row>
    <row r="1405" customFormat="false" ht="15.75" hidden="false" customHeight="false" outlineLevel="0" collapsed="false">
      <c r="A1405" s="9"/>
      <c r="B1405" s="9"/>
      <c r="C1405" s="9"/>
      <c r="D1405" s="9"/>
      <c r="E1405" s="9"/>
      <c r="F1405" s="9"/>
      <c r="G1405" s="9"/>
      <c r="H1405" s="9"/>
      <c r="I1405" s="9"/>
    </row>
    <row r="1406" customFormat="false" ht="15.75" hidden="false" customHeight="false" outlineLevel="0" collapsed="false">
      <c r="A1406" s="9"/>
      <c r="B1406" s="9"/>
      <c r="C1406" s="9"/>
      <c r="D1406" s="9"/>
      <c r="E1406" s="9"/>
      <c r="F1406" s="9"/>
      <c r="G1406" s="9"/>
      <c r="H1406" s="9"/>
      <c r="I1406" s="9"/>
    </row>
    <row r="1407" customFormat="false" ht="15.75" hidden="false" customHeight="false" outlineLevel="0" collapsed="false">
      <c r="A1407" s="9"/>
      <c r="B1407" s="9"/>
      <c r="C1407" s="9"/>
      <c r="D1407" s="9"/>
      <c r="E1407" s="9"/>
      <c r="F1407" s="9"/>
      <c r="G1407" s="9"/>
      <c r="H1407" s="9"/>
      <c r="I1407" s="9"/>
    </row>
    <row r="1408" customFormat="false" ht="15.75" hidden="false" customHeight="false" outlineLevel="0" collapsed="false">
      <c r="A1408" s="9"/>
      <c r="B1408" s="9"/>
      <c r="C1408" s="9"/>
      <c r="D1408" s="9"/>
      <c r="E1408" s="9"/>
      <c r="F1408" s="9"/>
      <c r="G1408" s="9"/>
      <c r="H1408" s="9"/>
      <c r="I1408" s="9"/>
    </row>
    <row r="1409" customFormat="false" ht="15.75" hidden="false" customHeight="false" outlineLevel="0" collapsed="false">
      <c r="A1409" s="9"/>
      <c r="B1409" s="9"/>
      <c r="C1409" s="9"/>
      <c r="D1409" s="9"/>
      <c r="E1409" s="9"/>
      <c r="F1409" s="9"/>
      <c r="G1409" s="9"/>
      <c r="H1409" s="9"/>
      <c r="I1409" s="9"/>
    </row>
    <row r="1410" customFormat="false" ht="15.75" hidden="false" customHeight="false" outlineLevel="0" collapsed="false">
      <c r="A1410" s="9"/>
      <c r="B1410" s="9"/>
      <c r="C1410" s="9"/>
      <c r="D1410" s="9"/>
      <c r="E1410" s="9"/>
      <c r="F1410" s="9"/>
      <c r="G1410" s="9"/>
      <c r="H1410" s="9"/>
      <c r="I1410" s="9"/>
    </row>
    <row r="1411" customFormat="false" ht="15.75" hidden="false" customHeight="false" outlineLevel="0" collapsed="false">
      <c r="A1411" s="9"/>
      <c r="B1411" s="9"/>
      <c r="C1411" s="9"/>
      <c r="D1411" s="9"/>
      <c r="E1411" s="9"/>
      <c r="F1411" s="9"/>
      <c r="G1411" s="9"/>
      <c r="H1411" s="9"/>
      <c r="I1411" s="9"/>
    </row>
    <row r="1412" customFormat="false" ht="15.75" hidden="false" customHeight="false" outlineLevel="0" collapsed="false">
      <c r="A1412" s="9"/>
      <c r="B1412" s="9"/>
      <c r="C1412" s="9"/>
      <c r="D1412" s="9"/>
      <c r="E1412" s="9"/>
      <c r="F1412" s="9"/>
      <c r="G1412" s="9"/>
      <c r="H1412" s="9"/>
      <c r="I1412" s="9"/>
    </row>
    <row r="1413" customFormat="false" ht="15.75" hidden="false" customHeight="false" outlineLevel="0" collapsed="false">
      <c r="A1413" s="9"/>
      <c r="B1413" s="9"/>
      <c r="C1413" s="9"/>
      <c r="D1413" s="9"/>
      <c r="E1413" s="9"/>
      <c r="F1413" s="9"/>
      <c r="G1413" s="9"/>
      <c r="H1413" s="9"/>
      <c r="I1413" s="9"/>
    </row>
    <row r="1414" customFormat="false" ht="15.75" hidden="false" customHeight="false" outlineLevel="0" collapsed="false">
      <c r="A1414" s="9"/>
      <c r="B1414" s="9"/>
      <c r="C1414" s="9"/>
      <c r="D1414" s="9"/>
      <c r="E1414" s="9"/>
      <c r="F1414" s="9"/>
      <c r="G1414" s="9"/>
      <c r="H1414" s="9"/>
      <c r="I1414" s="9"/>
    </row>
    <row r="1415" customFormat="false" ht="15.75" hidden="false" customHeight="false" outlineLevel="0" collapsed="false">
      <c r="A1415" s="9"/>
      <c r="B1415" s="9"/>
      <c r="C1415" s="9"/>
      <c r="D1415" s="9"/>
      <c r="E1415" s="9"/>
      <c r="F1415" s="9"/>
      <c r="G1415" s="9"/>
      <c r="H1415" s="9"/>
      <c r="I1415" s="9"/>
    </row>
    <row r="1416" customFormat="false" ht="15.75" hidden="false" customHeight="false" outlineLevel="0" collapsed="false">
      <c r="A1416" s="9"/>
      <c r="B1416" s="9"/>
      <c r="C1416" s="9"/>
      <c r="D1416" s="9"/>
      <c r="E1416" s="9"/>
      <c r="F1416" s="9"/>
      <c r="G1416" s="9"/>
      <c r="H1416" s="9"/>
      <c r="I1416" s="9"/>
    </row>
    <row r="1417" customFormat="false" ht="15.75" hidden="false" customHeight="false" outlineLevel="0" collapsed="false">
      <c r="A1417" s="9"/>
      <c r="B1417" s="9"/>
      <c r="C1417" s="9"/>
      <c r="D1417" s="9"/>
      <c r="E1417" s="9"/>
      <c r="F1417" s="9"/>
      <c r="G1417" s="9"/>
      <c r="H1417" s="9"/>
      <c r="I1417" s="9"/>
    </row>
    <row r="1418" customFormat="false" ht="15.75" hidden="false" customHeight="false" outlineLevel="0" collapsed="false">
      <c r="A1418" s="9"/>
      <c r="B1418" s="9"/>
      <c r="C1418" s="9"/>
      <c r="D1418" s="9"/>
      <c r="E1418" s="9"/>
      <c r="F1418" s="9"/>
      <c r="G1418" s="9"/>
      <c r="H1418" s="9"/>
      <c r="I1418" s="9"/>
    </row>
    <row r="1419" customFormat="false" ht="15.75" hidden="false" customHeight="false" outlineLevel="0" collapsed="false">
      <c r="A1419" s="9"/>
      <c r="B1419" s="9"/>
      <c r="C1419" s="9"/>
      <c r="D1419" s="9"/>
      <c r="E1419" s="9"/>
      <c r="F1419" s="9"/>
      <c r="G1419" s="9"/>
      <c r="H1419" s="9"/>
      <c r="I1419" s="9"/>
    </row>
    <row r="1420" customFormat="false" ht="15.75" hidden="false" customHeight="false" outlineLevel="0" collapsed="false">
      <c r="A1420" s="9"/>
      <c r="B1420" s="9"/>
      <c r="C1420" s="9"/>
      <c r="D1420" s="9"/>
      <c r="E1420" s="9"/>
      <c r="F1420" s="9"/>
      <c r="G1420" s="9"/>
      <c r="H1420" s="9"/>
      <c r="I1420" s="9"/>
    </row>
    <row r="1421" customFormat="false" ht="15.75" hidden="false" customHeight="false" outlineLevel="0" collapsed="false">
      <c r="A1421" s="9"/>
      <c r="B1421" s="9"/>
      <c r="C1421" s="9"/>
      <c r="D1421" s="9"/>
      <c r="E1421" s="9"/>
      <c r="F1421" s="9"/>
      <c r="G1421" s="9"/>
      <c r="H1421" s="9"/>
      <c r="I1421" s="9"/>
    </row>
    <row r="1422" customFormat="false" ht="15.75" hidden="false" customHeight="false" outlineLevel="0" collapsed="false">
      <c r="A1422" s="9"/>
      <c r="B1422" s="9"/>
      <c r="C1422" s="9"/>
      <c r="D1422" s="9"/>
      <c r="E1422" s="9"/>
      <c r="F1422" s="9"/>
      <c r="G1422" s="9"/>
      <c r="H1422" s="9"/>
      <c r="I1422" s="9"/>
    </row>
    <row r="1423" customFormat="false" ht="15.75" hidden="false" customHeight="false" outlineLevel="0" collapsed="false">
      <c r="A1423" s="9"/>
      <c r="B1423" s="9"/>
      <c r="C1423" s="9"/>
      <c r="D1423" s="9"/>
      <c r="E1423" s="9"/>
      <c r="F1423" s="9"/>
      <c r="G1423" s="9"/>
      <c r="H1423" s="9"/>
      <c r="I1423" s="9"/>
    </row>
    <row r="1424" customFormat="false" ht="15.75" hidden="false" customHeight="false" outlineLevel="0" collapsed="false">
      <c r="A1424" s="9"/>
      <c r="B1424" s="9"/>
      <c r="C1424" s="9"/>
      <c r="D1424" s="9"/>
      <c r="E1424" s="9"/>
      <c r="F1424" s="9"/>
      <c r="G1424" s="9"/>
      <c r="H1424" s="9"/>
      <c r="I1424" s="9"/>
    </row>
    <row r="1425" customFormat="false" ht="15.75" hidden="false" customHeight="false" outlineLevel="0" collapsed="false">
      <c r="A1425" s="9"/>
      <c r="B1425" s="9"/>
      <c r="C1425" s="9"/>
      <c r="D1425" s="9"/>
      <c r="E1425" s="9"/>
      <c r="F1425" s="9"/>
      <c r="G1425" s="9"/>
      <c r="H1425" s="9"/>
      <c r="I1425" s="9"/>
    </row>
    <row r="1426" customFormat="false" ht="15.75" hidden="false" customHeight="false" outlineLevel="0" collapsed="false">
      <c r="A1426" s="9"/>
      <c r="B1426" s="9"/>
      <c r="C1426" s="9"/>
      <c r="D1426" s="9"/>
      <c r="E1426" s="9"/>
      <c r="F1426" s="9"/>
      <c r="G1426" s="9"/>
      <c r="H1426" s="9"/>
      <c r="I1426" s="9"/>
    </row>
    <row r="1427" customFormat="false" ht="15.75" hidden="false" customHeight="false" outlineLevel="0" collapsed="false">
      <c r="A1427" s="9"/>
      <c r="B1427" s="9"/>
      <c r="C1427" s="9"/>
      <c r="D1427" s="9"/>
      <c r="E1427" s="9"/>
      <c r="F1427" s="9"/>
      <c r="G1427" s="9"/>
      <c r="H1427" s="9"/>
      <c r="I1427" s="9"/>
    </row>
    <row r="1428" customFormat="false" ht="15.75" hidden="false" customHeight="false" outlineLevel="0" collapsed="false">
      <c r="A1428" s="9"/>
      <c r="B1428" s="9"/>
      <c r="C1428" s="9"/>
      <c r="D1428" s="9"/>
      <c r="E1428" s="9"/>
      <c r="F1428" s="9"/>
      <c r="G1428" s="9"/>
      <c r="H1428" s="9"/>
      <c r="I1428" s="9"/>
    </row>
    <row r="1429" customFormat="false" ht="15.75" hidden="false" customHeight="false" outlineLevel="0" collapsed="false">
      <c r="A1429" s="9"/>
      <c r="B1429" s="9"/>
      <c r="C1429" s="9"/>
      <c r="D1429" s="9"/>
      <c r="E1429" s="9"/>
      <c r="F1429" s="9"/>
      <c r="G1429" s="9"/>
      <c r="H1429" s="9"/>
      <c r="I1429" s="9"/>
    </row>
    <row r="1430" customFormat="false" ht="15.75" hidden="false" customHeight="false" outlineLevel="0" collapsed="false">
      <c r="A1430" s="9"/>
      <c r="B1430" s="9"/>
      <c r="C1430" s="9"/>
      <c r="D1430" s="9"/>
      <c r="E1430" s="9"/>
      <c r="F1430" s="9"/>
      <c r="G1430" s="9"/>
      <c r="H1430" s="9"/>
      <c r="I1430" s="9"/>
    </row>
    <row r="1431" customFormat="false" ht="15.75" hidden="false" customHeight="false" outlineLevel="0" collapsed="false">
      <c r="A1431" s="9"/>
      <c r="B1431" s="9"/>
      <c r="C1431" s="9"/>
      <c r="D1431" s="9"/>
      <c r="E1431" s="9"/>
      <c r="F1431" s="9"/>
      <c r="G1431" s="9"/>
      <c r="H1431" s="9"/>
      <c r="I1431" s="9"/>
    </row>
    <row r="1432" customFormat="false" ht="15.75" hidden="false" customHeight="false" outlineLevel="0" collapsed="false">
      <c r="A1432" s="9"/>
      <c r="B1432" s="9"/>
      <c r="C1432" s="9"/>
      <c r="D1432" s="9"/>
      <c r="E1432" s="9"/>
      <c r="F1432" s="9"/>
      <c r="G1432" s="9"/>
      <c r="H1432" s="9"/>
      <c r="I1432" s="9"/>
    </row>
    <row r="1433" customFormat="false" ht="15.75" hidden="false" customHeight="false" outlineLevel="0" collapsed="false">
      <c r="A1433" s="9"/>
      <c r="B1433" s="9"/>
      <c r="C1433" s="9"/>
      <c r="D1433" s="9"/>
      <c r="E1433" s="9"/>
      <c r="F1433" s="9"/>
      <c r="G1433" s="9"/>
      <c r="H1433" s="9"/>
      <c r="I1433" s="9"/>
    </row>
    <row r="1434" customFormat="false" ht="15.75" hidden="false" customHeight="false" outlineLevel="0" collapsed="false">
      <c r="A1434" s="9"/>
      <c r="B1434" s="9"/>
      <c r="C1434" s="9"/>
      <c r="D1434" s="9"/>
      <c r="E1434" s="9"/>
      <c r="F1434" s="9"/>
      <c r="G1434" s="9"/>
      <c r="H1434" s="9"/>
      <c r="I1434" s="9"/>
    </row>
    <row r="1435" customFormat="false" ht="15.75" hidden="false" customHeight="false" outlineLevel="0" collapsed="false">
      <c r="A1435" s="9"/>
      <c r="B1435" s="9"/>
      <c r="C1435" s="9"/>
      <c r="D1435" s="9"/>
      <c r="E1435" s="9"/>
      <c r="F1435" s="9"/>
      <c r="G1435" s="9"/>
      <c r="H1435" s="9"/>
      <c r="I1435" s="9"/>
    </row>
    <row r="1436" customFormat="false" ht="15.75" hidden="false" customHeight="false" outlineLevel="0" collapsed="false">
      <c r="A1436" s="9"/>
      <c r="B1436" s="9"/>
      <c r="C1436" s="9"/>
      <c r="D1436" s="9"/>
      <c r="E1436" s="9"/>
      <c r="F1436" s="9"/>
      <c r="G1436" s="9"/>
      <c r="H1436" s="9"/>
      <c r="I1436" s="9"/>
    </row>
    <row r="1437" customFormat="false" ht="15.75" hidden="false" customHeight="false" outlineLevel="0" collapsed="false">
      <c r="A1437" s="9"/>
      <c r="B1437" s="9"/>
      <c r="C1437" s="9"/>
      <c r="D1437" s="9"/>
      <c r="E1437" s="9"/>
      <c r="F1437" s="9"/>
      <c r="G1437" s="9"/>
      <c r="H1437" s="9"/>
      <c r="I1437" s="9"/>
    </row>
    <row r="1438" customFormat="false" ht="15.75" hidden="false" customHeight="false" outlineLevel="0" collapsed="false">
      <c r="A1438" s="9"/>
      <c r="B1438" s="9"/>
      <c r="C1438" s="9"/>
      <c r="D1438" s="9"/>
      <c r="E1438" s="9"/>
      <c r="F1438" s="9"/>
      <c r="G1438" s="9"/>
      <c r="H1438" s="9"/>
      <c r="I1438" s="9"/>
    </row>
    <row r="1439" customFormat="false" ht="15.75" hidden="false" customHeight="false" outlineLevel="0" collapsed="false">
      <c r="A1439" s="9"/>
      <c r="B1439" s="9"/>
      <c r="C1439" s="9"/>
      <c r="D1439" s="9"/>
      <c r="E1439" s="9"/>
      <c r="F1439" s="9"/>
      <c r="G1439" s="9"/>
      <c r="H1439" s="9"/>
      <c r="I1439" s="9"/>
    </row>
    <row r="1440" customFormat="false" ht="15.75" hidden="false" customHeight="false" outlineLevel="0" collapsed="false">
      <c r="A1440" s="9"/>
      <c r="B1440" s="9"/>
      <c r="C1440" s="9"/>
      <c r="D1440" s="9"/>
      <c r="E1440" s="9"/>
      <c r="F1440" s="9"/>
      <c r="G1440" s="9"/>
      <c r="H1440" s="9"/>
      <c r="I1440" s="9"/>
    </row>
    <row r="1441" customFormat="false" ht="15.75" hidden="false" customHeight="false" outlineLevel="0" collapsed="false">
      <c r="A1441" s="9"/>
      <c r="B1441" s="9"/>
      <c r="C1441" s="9"/>
      <c r="D1441" s="9"/>
      <c r="E1441" s="9"/>
      <c r="F1441" s="9"/>
      <c r="G1441" s="9"/>
      <c r="H1441" s="9"/>
      <c r="I1441" s="9"/>
    </row>
    <row r="1442" customFormat="false" ht="15.75" hidden="false" customHeight="false" outlineLevel="0" collapsed="false">
      <c r="A1442" s="9"/>
      <c r="B1442" s="9"/>
      <c r="C1442" s="9"/>
      <c r="D1442" s="9"/>
      <c r="E1442" s="9"/>
      <c r="F1442" s="9"/>
      <c r="G1442" s="9"/>
      <c r="H1442" s="9"/>
      <c r="I1442" s="9"/>
    </row>
    <row r="1443" customFormat="false" ht="15.75" hidden="false" customHeight="false" outlineLevel="0" collapsed="false">
      <c r="A1443" s="9"/>
      <c r="B1443" s="9"/>
      <c r="C1443" s="9"/>
      <c r="D1443" s="9"/>
      <c r="E1443" s="9"/>
      <c r="F1443" s="9"/>
      <c r="G1443" s="9"/>
      <c r="H1443" s="9"/>
      <c r="I1443" s="9"/>
    </row>
    <row r="1444" customFormat="false" ht="15.75" hidden="false" customHeight="false" outlineLevel="0" collapsed="false">
      <c r="A1444" s="9"/>
      <c r="B1444" s="9"/>
      <c r="C1444" s="9"/>
      <c r="D1444" s="9"/>
      <c r="E1444" s="9"/>
      <c r="F1444" s="9"/>
      <c r="G1444" s="9"/>
      <c r="H1444" s="9"/>
      <c r="I1444" s="9"/>
    </row>
    <row r="1445" customFormat="false" ht="15.75" hidden="false" customHeight="false" outlineLevel="0" collapsed="false">
      <c r="A1445" s="9"/>
      <c r="B1445" s="9"/>
      <c r="C1445" s="9"/>
      <c r="D1445" s="9"/>
      <c r="E1445" s="9"/>
      <c r="F1445" s="9"/>
      <c r="G1445" s="9"/>
      <c r="H1445" s="9"/>
      <c r="I1445" s="9"/>
    </row>
    <row r="1446" customFormat="false" ht="15.75" hidden="false" customHeight="false" outlineLevel="0" collapsed="false">
      <c r="A1446" s="9"/>
      <c r="B1446" s="9"/>
      <c r="C1446" s="9"/>
      <c r="D1446" s="9"/>
      <c r="E1446" s="9"/>
      <c r="F1446" s="9"/>
      <c r="G1446" s="9"/>
      <c r="H1446" s="9"/>
      <c r="I1446" s="9"/>
    </row>
    <row r="1447" customFormat="false" ht="15.75" hidden="false" customHeight="false" outlineLevel="0" collapsed="false">
      <c r="A1447" s="9"/>
      <c r="B1447" s="9"/>
      <c r="C1447" s="9"/>
      <c r="D1447" s="9"/>
      <c r="E1447" s="9"/>
      <c r="F1447" s="9"/>
      <c r="G1447" s="9"/>
      <c r="H1447" s="9"/>
      <c r="I1447" s="9"/>
    </row>
    <row r="1448" customFormat="false" ht="15.75" hidden="false" customHeight="false" outlineLevel="0" collapsed="false">
      <c r="A1448" s="9"/>
      <c r="B1448" s="9"/>
      <c r="C1448" s="9"/>
      <c r="D1448" s="9"/>
      <c r="E1448" s="9"/>
      <c r="F1448" s="9"/>
      <c r="G1448" s="9"/>
      <c r="H1448" s="9"/>
      <c r="I1448" s="9"/>
    </row>
    <row r="1449" customFormat="false" ht="15.75" hidden="false" customHeight="false" outlineLevel="0" collapsed="false">
      <c r="A1449" s="9"/>
      <c r="B1449" s="9"/>
      <c r="C1449" s="9"/>
      <c r="D1449" s="9"/>
      <c r="E1449" s="9"/>
      <c r="F1449" s="9"/>
      <c r="G1449" s="9"/>
      <c r="H1449" s="9"/>
      <c r="I1449" s="9"/>
    </row>
    <row r="1450" customFormat="false" ht="15.75" hidden="false" customHeight="false" outlineLevel="0" collapsed="false">
      <c r="A1450" s="9"/>
      <c r="B1450" s="9"/>
      <c r="C1450" s="9"/>
      <c r="D1450" s="9"/>
      <c r="E1450" s="9"/>
      <c r="F1450" s="9"/>
      <c r="G1450" s="9"/>
      <c r="H1450" s="9"/>
      <c r="I1450" s="9"/>
    </row>
    <row r="1451" customFormat="false" ht="15.75" hidden="false" customHeight="false" outlineLevel="0" collapsed="false">
      <c r="A1451" s="9"/>
      <c r="B1451" s="9"/>
      <c r="C1451" s="9"/>
      <c r="D1451" s="9"/>
      <c r="E1451" s="9"/>
      <c r="F1451" s="9"/>
      <c r="G1451" s="9"/>
      <c r="H1451" s="9"/>
      <c r="I1451" s="9"/>
    </row>
    <row r="1452" customFormat="false" ht="15.75" hidden="false" customHeight="false" outlineLevel="0" collapsed="false">
      <c r="A1452" s="9"/>
      <c r="B1452" s="9"/>
      <c r="C1452" s="9"/>
      <c r="D1452" s="9"/>
      <c r="E1452" s="9"/>
      <c r="F1452" s="9"/>
      <c r="G1452" s="9"/>
      <c r="H1452" s="9"/>
      <c r="I1452" s="9"/>
    </row>
    <row r="1453" customFormat="false" ht="15.75" hidden="false" customHeight="false" outlineLevel="0" collapsed="false">
      <c r="A1453" s="9"/>
      <c r="B1453" s="9"/>
      <c r="C1453" s="9"/>
      <c r="D1453" s="9"/>
      <c r="E1453" s="9"/>
      <c r="F1453" s="9"/>
      <c r="G1453" s="9"/>
      <c r="H1453" s="9"/>
      <c r="I1453" s="9"/>
    </row>
    <row r="1454" customFormat="false" ht="15.75" hidden="false" customHeight="false" outlineLevel="0" collapsed="false">
      <c r="A1454" s="9"/>
      <c r="B1454" s="9"/>
      <c r="C1454" s="9"/>
      <c r="D1454" s="9"/>
      <c r="E1454" s="9"/>
      <c r="F1454" s="9"/>
      <c r="G1454" s="9"/>
      <c r="H1454" s="9"/>
      <c r="I1454" s="9"/>
    </row>
    <row r="1455" customFormat="false" ht="15.75" hidden="false" customHeight="false" outlineLevel="0" collapsed="false">
      <c r="A1455" s="9"/>
      <c r="B1455" s="9"/>
      <c r="C1455" s="9"/>
      <c r="D1455" s="9"/>
      <c r="E1455" s="9"/>
      <c r="F1455" s="9"/>
      <c r="G1455" s="9"/>
      <c r="H1455" s="9"/>
      <c r="I1455" s="9"/>
    </row>
    <row r="1456" customFormat="false" ht="15.75" hidden="false" customHeight="false" outlineLevel="0" collapsed="false">
      <c r="A1456" s="9"/>
      <c r="B1456" s="9"/>
      <c r="C1456" s="9"/>
      <c r="D1456" s="9"/>
      <c r="E1456" s="9"/>
      <c r="F1456" s="9"/>
      <c r="G1456" s="9"/>
      <c r="H1456" s="9"/>
      <c r="I1456" s="9"/>
    </row>
    <row r="1457" customFormat="false" ht="15.75" hidden="false" customHeight="false" outlineLevel="0" collapsed="false">
      <c r="A1457" s="9"/>
      <c r="B1457" s="9"/>
      <c r="C1457" s="9"/>
      <c r="D1457" s="9"/>
      <c r="E1457" s="9"/>
      <c r="F1457" s="9"/>
      <c r="G1457" s="9"/>
      <c r="H1457" s="9"/>
      <c r="I1457" s="9"/>
    </row>
    <row r="1458" customFormat="false" ht="15.75" hidden="false" customHeight="false" outlineLevel="0" collapsed="false">
      <c r="A1458" s="9"/>
      <c r="B1458" s="9"/>
      <c r="C1458" s="9"/>
      <c r="D1458" s="9"/>
      <c r="E1458" s="9"/>
      <c r="F1458" s="9"/>
      <c r="G1458" s="9"/>
      <c r="H1458" s="9"/>
      <c r="I1458" s="9"/>
    </row>
    <row r="1459" customFormat="false" ht="15.75" hidden="false" customHeight="false" outlineLevel="0" collapsed="false">
      <c r="A1459" s="9"/>
      <c r="B1459" s="9"/>
      <c r="C1459" s="9"/>
      <c r="D1459" s="9"/>
      <c r="E1459" s="9"/>
      <c r="F1459" s="9"/>
      <c r="G1459" s="9"/>
      <c r="H1459" s="9"/>
      <c r="I1459" s="9"/>
    </row>
    <row r="1460" customFormat="false" ht="15.75" hidden="false" customHeight="false" outlineLevel="0" collapsed="false">
      <c r="A1460" s="9"/>
      <c r="B1460" s="9"/>
      <c r="C1460" s="9"/>
      <c r="D1460" s="9"/>
      <c r="E1460" s="9"/>
      <c r="F1460" s="9"/>
      <c r="G1460" s="9"/>
      <c r="H1460" s="9"/>
      <c r="I1460" s="9"/>
    </row>
    <row r="1461" customFormat="false" ht="15.75" hidden="false" customHeight="false" outlineLevel="0" collapsed="false">
      <c r="A1461" s="9"/>
      <c r="B1461" s="9"/>
      <c r="C1461" s="9"/>
      <c r="D1461" s="9"/>
      <c r="E1461" s="9"/>
      <c r="F1461" s="9"/>
      <c r="G1461" s="9"/>
      <c r="H1461" s="9"/>
      <c r="I1461" s="9"/>
    </row>
    <row r="1462" customFormat="false" ht="15.75" hidden="false" customHeight="false" outlineLevel="0" collapsed="false">
      <c r="A1462" s="9"/>
      <c r="B1462" s="9"/>
      <c r="C1462" s="9"/>
      <c r="D1462" s="9"/>
      <c r="E1462" s="9"/>
      <c r="F1462" s="9"/>
      <c r="G1462" s="9"/>
      <c r="H1462" s="9"/>
      <c r="I1462" s="9"/>
    </row>
    <row r="1463" customFormat="false" ht="15.75" hidden="false" customHeight="false" outlineLevel="0" collapsed="false">
      <c r="A1463" s="9"/>
      <c r="B1463" s="9"/>
      <c r="C1463" s="9"/>
      <c r="D1463" s="9"/>
      <c r="E1463" s="9"/>
      <c r="F1463" s="9"/>
      <c r="G1463" s="9"/>
      <c r="H1463" s="9"/>
      <c r="I1463" s="9"/>
    </row>
    <row r="1464" customFormat="false" ht="15.75" hidden="false" customHeight="false" outlineLevel="0" collapsed="false">
      <c r="A1464" s="9"/>
      <c r="B1464" s="9"/>
      <c r="C1464" s="9"/>
      <c r="D1464" s="9"/>
      <c r="E1464" s="9"/>
      <c r="F1464" s="9"/>
      <c r="G1464" s="9"/>
      <c r="H1464" s="9"/>
      <c r="I1464" s="9"/>
    </row>
    <row r="1465" customFormat="false" ht="15.75" hidden="false" customHeight="false" outlineLevel="0" collapsed="false">
      <c r="A1465" s="9"/>
      <c r="B1465" s="9"/>
      <c r="C1465" s="9"/>
      <c r="D1465" s="9"/>
      <c r="E1465" s="9"/>
      <c r="F1465" s="9"/>
      <c r="G1465" s="9"/>
      <c r="H1465" s="9"/>
      <c r="I1465" s="9"/>
    </row>
    <row r="1466" customFormat="false" ht="15.75" hidden="false" customHeight="false" outlineLevel="0" collapsed="false">
      <c r="A1466" s="9"/>
      <c r="B1466" s="9"/>
      <c r="C1466" s="9"/>
      <c r="D1466" s="9"/>
      <c r="E1466" s="9"/>
      <c r="F1466" s="9"/>
      <c r="G1466" s="9"/>
      <c r="H1466" s="9"/>
      <c r="I1466" s="9"/>
    </row>
    <row r="1467" customFormat="false" ht="15.75" hidden="false" customHeight="false" outlineLevel="0" collapsed="false">
      <c r="A1467" s="9"/>
      <c r="B1467" s="9"/>
      <c r="C1467" s="9"/>
      <c r="D1467" s="9"/>
      <c r="E1467" s="9"/>
      <c r="F1467" s="9"/>
      <c r="G1467" s="9"/>
      <c r="H1467" s="9"/>
      <c r="I1467" s="9"/>
    </row>
    <row r="1468" customFormat="false" ht="15.75" hidden="false" customHeight="false" outlineLevel="0" collapsed="false">
      <c r="A1468" s="9"/>
      <c r="B1468" s="9"/>
      <c r="C1468" s="9"/>
      <c r="D1468" s="9"/>
      <c r="E1468" s="9"/>
      <c r="F1468" s="9"/>
      <c r="G1468" s="9"/>
      <c r="H1468" s="9"/>
      <c r="I1468" s="9"/>
    </row>
    <row r="1469" customFormat="false" ht="15.75" hidden="false" customHeight="false" outlineLevel="0" collapsed="false">
      <c r="A1469" s="9"/>
      <c r="B1469" s="9"/>
      <c r="C1469" s="9"/>
      <c r="D1469" s="9"/>
      <c r="E1469" s="9"/>
      <c r="F1469" s="9"/>
      <c r="G1469" s="9"/>
      <c r="H1469" s="9"/>
      <c r="I1469" s="9"/>
    </row>
    <row r="1470" customFormat="false" ht="15.75" hidden="false" customHeight="false" outlineLevel="0" collapsed="false">
      <c r="A1470" s="9"/>
      <c r="B1470" s="9"/>
      <c r="C1470" s="9"/>
      <c r="D1470" s="9"/>
      <c r="E1470" s="9"/>
      <c r="F1470" s="9"/>
      <c r="G1470" s="9"/>
      <c r="H1470" s="9"/>
      <c r="I1470" s="9"/>
    </row>
    <row r="1471" customFormat="false" ht="15.75" hidden="false" customHeight="false" outlineLevel="0" collapsed="false">
      <c r="A1471" s="9"/>
      <c r="B1471" s="9"/>
      <c r="C1471" s="9"/>
      <c r="D1471" s="9"/>
      <c r="E1471" s="9"/>
      <c r="F1471" s="9"/>
      <c r="G1471" s="9"/>
      <c r="H1471" s="9"/>
      <c r="I1471" s="9"/>
    </row>
    <row r="1472" customFormat="false" ht="15.75" hidden="false" customHeight="false" outlineLevel="0" collapsed="false">
      <c r="A1472" s="9"/>
      <c r="B1472" s="9"/>
      <c r="C1472" s="9"/>
      <c r="D1472" s="9"/>
      <c r="E1472" s="9"/>
      <c r="F1472" s="9"/>
      <c r="G1472" s="9"/>
      <c r="H1472" s="9"/>
      <c r="I1472" s="9"/>
    </row>
    <row r="1473" customFormat="false" ht="15.75" hidden="false" customHeight="false" outlineLevel="0" collapsed="false">
      <c r="A1473" s="9"/>
      <c r="B1473" s="9"/>
      <c r="C1473" s="9"/>
      <c r="D1473" s="9"/>
      <c r="E1473" s="9"/>
      <c r="F1473" s="9"/>
      <c r="G1473" s="9"/>
      <c r="H1473" s="9"/>
      <c r="I1473" s="9"/>
    </row>
    <row r="1474" customFormat="false" ht="15.75" hidden="false" customHeight="false" outlineLevel="0" collapsed="false">
      <c r="A1474" s="9"/>
      <c r="B1474" s="9"/>
      <c r="C1474" s="9"/>
      <c r="D1474" s="9"/>
      <c r="E1474" s="9"/>
      <c r="F1474" s="9"/>
      <c r="G1474" s="9"/>
      <c r="H1474" s="9"/>
      <c r="I1474" s="9"/>
    </row>
    <row r="1475" customFormat="false" ht="15.75" hidden="false" customHeight="false" outlineLevel="0" collapsed="false">
      <c r="A1475" s="9"/>
      <c r="B1475" s="9"/>
      <c r="C1475" s="9"/>
      <c r="D1475" s="9"/>
      <c r="E1475" s="9"/>
      <c r="F1475" s="9"/>
      <c r="G1475" s="9"/>
      <c r="H1475" s="9"/>
      <c r="I1475" s="9"/>
    </row>
    <row r="1476" customFormat="false" ht="15.75" hidden="false" customHeight="false" outlineLevel="0" collapsed="false">
      <c r="A1476" s="9"/>
      <c r="B1476" s="9"/>
      <c r="C1476" s="9"/>
      <c r="D1476" s="9"/>
      <c r="E1476" s="9"/>
      <c r="F1476" s="9"/>
      <c r="G1476" s="9"/>
      <c r="H1476" s="9"/>
      <c r="I1476" s="9"/>
    </row>
    <row r="1477" customFormat="false" ht="15.75" hidden="false" customHeight="false" outlineLevel="0" collapsed="false">
      <c r="A1477" s="9"/>
      <c r="B1477" s="9"/>
      <c r="C1477" s="9"/>
      <c r="D1477" s="9"/>
      <c r="E1477" s="9"/>
      <c r="F1477" s="9"/>
      <c r="G1477" s="9"/>
      <c r="H1477" s="9"/>
      <c r="I1477" s="9"/>
    </row>
    <row r="1478" customFormat="false" ht="15.75" hidden="false" customHeight="false" outlineLevel="0" collapsed="false">
      <c r="A1478" s="9"/>
      <c r="B1478" s="9"/>
      <c r="C1478" s="9"/>
      <c r="D1478" s="9"/>
      <c r="E1478" s="9"/>
      <c r="F1478" s="9"/>
      <c r="G1478" s="9"/>
      <c r="H1478" s="9"/>
      <c r="I1478" s="9"/>
    </row>
    <row r="1479" customFormat="false" ht="15.75" hidden="false" customHeight="false" outlineLevel="0" collapsed="false">
      <c r="A1479" s="9"/>
      <c r="B1479" s="9"/>
      <c r="C1479" s="9"/>
      <c r="D1479" s="9"/>
      <c r="E1479" s="9"/>
      <c r="F1479" s="9"/>
      <c r="G1479" s="9"/>
      <c r="H1479" s="9"/>
      <c r="I1479" s="9"/>
    </row>
    <row r="1480" customFormat="false" ht="15.75" hidden="false" customHeight="false" outlineLevel="0" collapsed="false">
      <c r="A1480" s="9"/>
      <c r="B1480" s="9"/>
      <c r="C1480" s="9"/>
      <c r="D1480" s="9"/>
      <c r="E1480" s="9"/>
      <c r="F1480" s="9"/>
      <c r="G1480" s="9"/>
      <c r="H1480" s="9"/>
      <c r="I1480" s="9"/>
    </row>
    <row r="1481" customFormat="false" ht="15.75" hidden="false" customHeight="false" outlineLevel="0" collapsed="false">
      <c r="A1481" s="9"/>
      <c r="B1481" s="9"/>
      <c r="C1481" s="9"/>
      <c r="D1481" s="9"/>
      <c r="E1481" s="9"/>
      <c r="F1481" s="9"/>
      <c r="G1481" s="9"/>
      <c r="H1481" s="9"/>
      <c r="I1481" s="9"/>
    </row>
    <row r="1482" customFormat="false" ht="15.75" hidden="false" customHeight="false" outlineLevel="0" collapsed="false">
      <c r="A1482" s="9"/>
      <c r="B1482" s="9"/>
      <c r="C1482" s="9"/>
      <c r="D1482" s="9"/>
      <c r="E1482" s="9"/>
      <c r="F1482" s="9"/>
      <c r="G1482" s="9"/>
      <c r="H1482" s="9"/>
      <c r="I1482" s="9"/>
    </row>
    <row r="1483" customFormat="false" ht="15.75" hidden="false" customHeight="false" outlineLevel="0" collapsed="false">
      <c r="A1483" s="9"/>
      <c r="B1483" s="9"/>
      <c r="C1483" s="9"/>
      <c r="D1483" s="9"/>
      <c r="E1483" s="9"/>
      <c r="F1483" s="9"/>
      <c r="G1483" s="9"/>
      <c r="H1483" s="9"/>
      <c r="I1483" s="9"/>
    </row>
    <row r="1484" customFormat="false" ht="15.75" hidden="false" customHeight="false" outlineLevel="0" collapsed="false">
      <c r="A1484" s="9"/>
      <c r="B1484" s="9"/>
      <c r="C1484" s="9"/>
      <c r="D1484" s="9"/>
      <c r="E1484" s="9"/>
      <c r="F1484" s="9"/>
      <c r="G1484" s="9"/>
      <c r="H1484" s="9"/>
      <c r="I1484" s="9"/>
    </row>
    <row r="1485" customFormat="false" ht="15.75" hidden="false" customHeight="false" outlineLevel="0" collapsed="false">
      <c r="A1485" s="9"/>
      <c r="B1485" s="9"/>
      <c r="C1485" s="9"/>
      <c r="D1485" s="9"/>
      <c r="E1485" s="9"/>
      <c r="F1485" s="9"/>
      <c r="G1485" s="9"/>
      <c r="H1485" s="9"/>
      <c r="I1485" s="9"/>
    </row>
    <row r="1486" customFormat="false" ht="15.75" hidden="false" customHeight="false" outlineLevel="0" collapsed="false">
      <c r="A1486" s="9"/>
      <c r="B1486" s="9"/>
      <c r="C1486" s="9"/>
      <c r="D1486" s="9"/>
      <c r="E1486" s="9"/>
      <c r="F1486" s="9"/>
      <c r="G1486" s="9"/>
      <c r="H1486" s="9"/>
      <c r="I1486" s="9"/>
    </row>
    <row r="1487" customFormat="false" ht="15.75" hidden="false" customHeight="false" outlineLevel="0" collapsed="false">
      <c r="A1487" s="9"/>
      <c r="B1487" s="9"/>
      <c r="C1487" s="9"/>
      <c r="D1487" s="9"/>
      <c r="E1487" s="9"/>
      <c r="F1487" s="9"/>
      <c r="G1487" s="9"/>
      <c r="H1487" s="9"/>
      <c r="I1487" s="9"/>
    </row>
    <row r="1488" customFormat="false" ht="15.75" hidden="false" customHeight="false" outlineLevel="0" collapsed="false">
      <c r="A1488" s="9"/>
      <c r="B1488" s="9"/>
      <c r="C1488" s="9"/>
      <c r="D1488" s="9"/>
      <c r="E1488" s="9"/>
      <c r="F1488" s="9"/>
      <c r="G1488" s="9"/>
      <c r="H1488" s="9"/>
      <c r="I1488" s="9"/>
    </row>
    <row r="1489" customFormat="false" ht="15.75" hidden="false" customHeight="false" outlineLevel="0" collapsed="false">
      <c r="A1489" s="9"/>
      <c r="B1489" s="9"/>
      <c r="C1489" s="9"/>
      <c r="D1489" s="9"/>
      <c r="E1489" s="9"/>
      <c r="F1489" s="9"/>
      <c r="G1489" s="9"/>
      <c r="H1489" s="9"/>
      <c r="I1489" s="9"/>
    </row>
    <row r="1490" customFormat="false" ht="15.75" hidden="false" customHeight="false" outlineLevel="0" collapsed="false">
      <c r="A1490" s="9"/>
      <c r="B1490" s="9"/>
      <c r="C1490" s="9"/>
      <c r="D1490" s="9"/>
      <c r="E1490" s="9"/>
      <c r="F1490" s="9"/>
      <c r="G1490" s="9"/>
      <c r="H1490" s="9"/>
      <c r="I1490" s="9"/>
    </row>
    <row r="1491" customFormat="false" ht="15.75" hidden="false" customHeight="false" outlineLevel="0" collapsed="false">
      <c r="A1491" s="9"/>
      <c r="B1491" s="9"/>
      <c r="C1491" s="9"/>
      <c r="D1491" s="9"/>
      <c r="E1491" s="9"/>
      <c r="F1491" s="9"/>
      <c r="G1491" s="9"/>
      <c r="H1491" s="9"/>
      <c r="I1491" s="9"/>
    </row>
    <row r="1492" customFormat="false" ht="15.75" hidden="false" customHeight="false" outlineLevel="0" collapsed="false">
      <c r="A1492" s="9"/>
      <c r="B1492" s="9"/>
      <c r="C1492" s="9"/>
      <c r="D1492" s="9"/>
      <c r="E1492" s="9"/>
      <c r="F1492" s="9"/>
      <c r="G1492" s="9"/>
      <c r="H1492" s="9"/>
      <c r="I1492" s="9"/>
    </row>
    <row r="1493" customFormat="false" ht="15.75" hidden="false" customHeight="false" outlineLevel="0" collapsed="false">
      <c r="A1493" s="9"/>
      <c r="B1493" s="9"/>
      <c r="C1493" s="9"/>
      <c r="D1493" s="9"/>
      <c r="E1493" s="9"/>
      <c r="F1493" s="9"/>
      <c r="G1493" s="9"/>
      <c r="H1493" s="9"/>
      <c r="I1493" s="9"/>
    </row>
    <row r="1494" customFormat="false" ht="15.75" hidden="false" customHeight="false" outlineLevel="0" collapsed="false">
      <c r="A1494" s="9"/>
      <c r="B1494" s="9"/>
      <c r="C1494" s="9"/>
      <c r="D1494" s="9"/>
      <c r="E1494" s="9"/>
      <c r="F1494" s="9"/>
      <c r="G1494" s="9"/>
      <c r="H1494" s="9"/>
      <c r="I1494" s="9"/>
    </row>
    <row r="1495" customFormat="false" ht="15.75" hidden="false" customHeight="false" outlineLevel="0" collapsed="false">
      <c r="A1495" s="9"/>
      <c r="B1495" s="9"/>
      <c r="C1495" s="9"/>
      <c r="D1495" s="9"/>
      <c r="E1495" s="9"/>
      <c r="F1495" s="9"/>
      <c r="G1495" s="9"/>
      <c r="H1495" s="9"/>
      <c r="I1495" s="9"/>
    </row>
    <row r="1496" customFormat="false" ht="15.75" hidden="false" customHeight="false" outlineLevel="0" collapsed="false">
      <c r="A1496" s="9"/>
      <c r="B1496" s="9"/>
      <c r="C1496" s="9"/>
      <c r="D1496" s="9"/>
      <c r="E1496" s="9"/>
      <c r="F1496" s="9"/>
      <c r="G1496" s="9"/>
      <c r="H1496" s="9"/>
      <c r="I1496" s="9"/>
    </row>
    <row r="1497" customFormat="false" ht="15.75" hidden="false" customHeight="false" outlineLevel="0" collapsed="false">
      <c r="A1497" s="9"/>
      <c r="B1497" s="9"/>
      <c r="C1497" s="9"/>
      <c r="D1497" s="9"/>
      <c r="E1497" s="9"/>
      <c r="F1497" s="9"/>
      <c r="G1497" s="9"/>
      <c r="H1497" s="9"/>
      <c r="I1497" s="9"/>
    </row>
    <row r="1498" customFormat="false" ht="15.75" hidden="false" customHeight="false" outlineLevel="0" collapsed="false">
      <c r="A1498" s="9"/>
      <c r="B1498" s="9"/>
      <c r="C1498" s="9"/>
      <c r="D1498" s="9"/>
      <c r="E1498" s="9"/>
      <c r="F1498" s="9"/>
      <c r="G1498" s="9"/>
      <c r="H1498" s="9"/>
      <c r="I1498" s="9"/>
    </row>
    <row r="1499" customFormat="false" ht="15.75" hidden="false" customHeight="false" outlineLevel="0" collapsed="false">
      <c r="A1499" s="9"/>
      <c r="B1499" s="9"/>
      <c r="C1499" s="9"/>
      <c r="D1499" s="9"/>
      <c r="E1499" s="9"/>
      <c r="F1499" s="9"/>
      <c r="G1499" s="9"/>
      <c r="H1499" s="9"/>
      <c r="I1499" s="9"/>
    </row>
    <row r="1500" customFormat="false" ht="15.75" hidden="false" customHeight="false" outlineLevel="0" collapsed="false">
      <c r="A1500" s="9"/>
      <c r="B1500" s="9"/>
      <c r="C1500" s="9"/>
      <c r="D1500" s="9"/>
      <c r="E1500" s="9"/>
      <c r="F1500" s="9"/>
      <c r="G1500" s="9"/>
      <c r="H1500" s="9"/>
      <c r="I1500" s="9"/>
    </row>
    <row r="1501" customFormat="false" ht="15.75" hidden="false" customHeight="false" outlineLevel="0" collapsed="false">
      <c r="A1501" s="9"/>
      <c r="B1501" s="9"/>
      <c r="C1501" s="9"/>
      <c r="D1501" s="9"/>
      <c r="E1501" s="9"/>
      <c r="F1501" s="9"/>
      <c r="G1501" s="9"/>
      <c r="H1501" s="9"/>
      <c r="I1501" s="9"/>
    </row>
    <row r="1502" customFormat="false" ht="15.75" hidden="false" customHeight="false" outlineLevel="0" collapsed="false">
      <c r="A1502" s="9"/>
      <c r="B1502" s="9"/>
      <c r="C1502" s="9"/>
      <c r="D1502" s="9"/>
      <c r="E1502" s="9"/>
      <c r="F1502" s="9"/>
      <c r="G1502" s="9"/>
      <c r="H1502" s="9"/>
      <c r="I1502" s="9"/>
    </row>
    <row r="1503" customFormat="false" ht="15.75" hidden="false" customHeight="false" outlineLevel="0" collapsed="false">
      <c r="A1503" s="9"/>
      <c r="B1503" s="9"/>
      <c r="C1503" s="9"/>
      <c r="D1503" s="9"/>
      <c r="E1503" s="9"/>
      <c r="F1503" s="9"/>
      <c r="G1503" s="9"/>
      <c r="H1503" s="9"/>
      <c r="I1503" s="9"/>
    </row>
    <row r="1504" customFormat="false" ht="15.75" hidden="false" customHeight="false" outlineLevel="0" collapsed="false">
      <c r="A1504" s="9"/>
      <c r="B1504" s="9"/>
      <c r="C1504" s="9"/>
      <c r="D1504" s="9"/>
      <c r="E1504" s="9"/>
      <c r="F1504" s="9"/>
      <c r="G1504" s="9"/>
      <c r="H1504" s="9"/>
      <c r="I1504" s="9"/>
    </row>
    <row r="1505" customFormat="false" ht="15.75" hidden="false" customHeight="false" outlineLevel="0" collapsed="false">
      <c r="A1505" s="9"/>
      <c r="B1505" s="9"/>
      <c r="C1505" s="9"/>
      <c r="D1505" s="9"/>
      <c r="E1505" s="9"/>
      <c r="F1505" s="9"/>
      <c r="G1505" s="9"/>
      <c r="H1505" s="9"/>
      <c r="I1505" s="9"/>
    </row>
    <row r="1506" customFormat="false" ht="15.75" hidden="false" customHeight="false" outlineLevel="0" collapsed="false">
      <c r="A1506" s="9"/>
      <c r="B1506" s="9"/>
      <c r="C1506" s="9"/>
      <c r="D1506" s="9"/>
      <c r="E1506" s="9"/>
      <c r="F1506" s="9"/>
      <c r="G1506" s="9"/>
      <c r="H1506" s="9"/>
      <c r="I1506" s="9"/>
    </row>
    <row r="1507" customFormat="false" ht="15.75" hidden="false" customHeight="false" outlineLevel="0" collapsed="false">
      <c r="A1507" s="9"/>
      <c r="B1507" s="9"/>
      <c r="C1507" s="9"/>
      <c r="D1507" s="9"/>
      <c r="E1507" s="9"/>
      <c r="F1507" s="9"/>
      <c r="G1507" s="9"/>
      <c r="H1507" s="9"/>
      <c r="I1507" s="9"/>
    </row>
    <row r="1508" customFormat="false" ht="15.75" hidden="false" customHeight="false" outlineLevel="0" collapsed="false">
      <c r="A1508" s="9"/>
      <c r="B1508" s="9"/>
      <c r="C1508" s="9"/>
      <c r="D1508" s="9"/>
      <c r="E1508" s="9"/>
      <c r="F1508" s="9"/>
      <c r="G1508" s="9"/>
      <c r="H1508" s="9"/>
      <c r="I1508" s="9"/>
    </row>
    <row r="1509" customFormat="false" ht="15.75" hidden="false" customHeight="false" outlineLevel="0" collapsed="false">
      <c r="A1509" s="9"/>
      <c r="B1509" s="9"/>
      <c r="C1509" s="9"/>
      <c r="D1509" s="9"/>
      <c r="E1509" s="9"/>
      <c r="F1509" s="9"/>
      <c r="G1509" s="9"/>
      <c r="H1509" s="9"/>
      <c r="I1509" s="9"/>
    </row>
    <row r="1510" customFormat="false" ht="15.75" hidden="false" customHeight="false" outlineLevel="0" collapsed="false">
      <c r="A1510" s="9"/>
      <c r="B1510" s="9"/>
      <c r="C1510" s="9"/>
      <c r="D1510" s="9"/>
      <c r="E1510" s="9"/>
      <c r="F1510" s="9"/>
      <c r="G1510" s="9"/>
      <c r="H1510" s="9"/>
      <c r="I1510" s="9"/>
    </row>
    <row r="1511" customFormat="false" ht="15.75" hidden="false" customHeight="false" outlineLevel="0" collapsed="false">
      <c r="A1511" s="9"/>
      <c r="B1511" s="9"/>
      <c r="C1511" s="9"/>
      <c r="D1511" s="9"/>
      <c r="E1511" s="9"/>
      <c r="F1511" s="9"/>
      <c r="G1511" s="9"/>
      <c r="H1511" s="9"/>
      <c r="I1511" s="9"/>
    </row>
    <row r="1512" customFormat="false" ht="15.75" hidden="false" customHeight="false" outlineLevel="0" collapsed="false">
      <c r="A1512" s="9"/>
      <c r="B1512" s="9"/>
      <c r="C1512" s="9"/>
      <c r="D1512" s="9"/>
      <c r="E1512" s="9"/>
      <c r="F1512" s="9"/>
      <c r="G1512" s="9"/>
      <c r="H1512" s="9"/>
      <c r="I1512" s="9"/>
    </row>
    <row r="1513" customFormat="false" ht="15.75" hidden="false" customHeight="false" outlineLevel="0" collapsed="false">
      <c r="A1513" s="9"/>
      <c r="B1513" s="9"/>
      <c r="C1513" s="9"/>
      <c r="D1513" s="9"/>
      <c r="E1513" s="9"/>
      <c r="F1513" s="9"/>
      <c r="G1513" s="9"/>
      <c r="H1513" s="9"/>
      <c r="I1513" s="9"/>
    </row>
    <row r="1514" customFormat="false" ht="15.75" hidden="false" customHeight="false" outlineLevel="0" collapsed="false">
      <c r="A1514" s="9"/>
      <c r="B1514" s="9"/>
      <c r="C1514" s="9"/>
      <c r="D1514" s="9"/>
      <c r="E1514" s="9"/>
      <c r="F1514" s="9"/>
      <c r="G1514" s="9"/>
      <c r="H1514" s="9"/>
      <c r="I1514" s="9"/>
    </row>
    <row r="1515" customFormat="false" ht="15.75" hidden="false" customHeight="false" outlineLevel="0" collapsed="false">
      <c r="A1515" s="9"/>
      <c r="B1515" s="9"/>
      <c r="C1515" s="9"/>
      <c r="D1515" s="9"/>
      <c r="E1515" s="9"/>
      <c r="F1515" s="9"/>
      <c r="G1515" s="9"/>
      <c r="H1515" s="9"/>
      <c r="I1515" s="9"/>
    </row>
    <row r="1516" customFormat="false" ht="15.75" hidden="false" customHeight="false" outlineLevel="0" collapsed="false">
      <c r="A1516" s="9"/>
      <c r="B1516" s="9"/>
      <c r="C1516" s="9"/>
      <c r="D1516" s="9"/>
      <c r="E1516" s="9"/>
      <c r="F1516" s="9"/>
      <c r="G1516" s="9"/>
      <c r="H1516" s="9"/>
      <c r="I1516" s="9"/>
    </row>
    <row r="1517" customFormat="false" ht="15.75" hidden="false" customHeight="false" outlineLevel="0" collapsed="false">
      <c r="A1517" s="9"/>
      <c r="B1517" s="9"/>
      <c r="C1517" s="9"/>
      <c r="D1517" s="9"/>
      <c r="E1517" s="9"/>
      <c r="F1517" s="9"/>
      <c r="G1517" s="9"/>
      <c r="H1517" s="9"/>
      <c r="I1517" s="9"/>
    </row>
    <row r="1518" customFormat="false" ht="15.75" hidden="false" customHeight="false" outlineLevel="0" collapsed="false">
      <c r="A1518" s="9"/>
      <c r="B1518" s="9"/>
      <c r="C1518" s="9"/>
      <c r="D1518" s="9"/>
      <c r="E1518" s="9"/>
      <c r="F1518" s="9"/>
      <c r="G1518" s="9"/>
      <c r="H1518" s="9"/>
      <c r="I1518" s="9"/>
    </row>
    <row r="1519" customFormat="false" ht="15.75" hidden="false" customHeight="false" outlineLevel="0" collapsed="false">
      <c r="A1519" s="9"/>
      <c r="B1519" s="9"/>
      <c r="C1519" s="9"/>
      <c r="D1519" s="9"/>
      <c r="E1519" s="9"/>
      <c r="F1519" s="9"/>
      <c r="G1519" s="9"/>
      <c r="H1519" s="9"/>
      <c r="I1519" s="9"/>
    </row>
    <row r="1520" customFormat="false" ht="15.75" hidden="false" customHeight="false" outlineLevel="0" collapsed="false">
      <c r="A1520" s="9"/>
      <c r="B1520" s="9"/>
      <c r="C1520" s="9"/>
      <c r="D1520" s="9"/>
      <c r="E1520" s="9"/>
      <c r="F1520" s="9"/>
      <c r="G1520" s="9"/>
      <c r="H1520" s="9"/>
      <c r="I1520" s="9"/>
    </row>
    <row r="1521" customFormat="false" ht="15.75" hidden="false" customHeight="false" outlineLevel="0" collapsed="false">
      <c r="A1521" s="9"/>
      <c r="B1521" s="9"/>
      <c r="C1521" s="9"/>
      <c r="D1521" s="9"/>
      <c r="E1521" s="9"/>
      <c r="F1521" s="9"/>
      <c r="G1521" s="9"/>
      <c r="H1521" s="9"/>
      <c r="I1521" s="9"/>
    </row>
    <row r="1522" customFormat="false" ht="15.75" hidden="false" customHeight="false" outlineLevel="0" collapsed="false">
      <c r="A1522" s="9"/>
      <c r="B1522" s="9"/>
      <c r="C1522" s="9"/>
      <c r="D1522" s="9"/>
      <c r="E1522" s="9"/>
      <c r="F1522" s="9"/>
      <c r="G1522" s="9"/>
      <c r="H1522" s="9"/>
      <c r="I1522" s="9"/>
    </row>
    <row r="1523" customFormat="false" ht="15.75" hidden="false" customHeight="false" outlineLevel="0" collapsed="false">
      <c r="A1523" s="9"/>
      <c r="B1523" s="9"/>
      <c r="C1523" s="9"/>
      <c r="D1523" s="9"/>
      <c r="E1523" s="9"/>
      <c r="F1523" s="9"/>
      <c r="G1523" s="9"/>
      <c r="H1523" s="9"/>
      <c r="I1523" s="9"/>
    </row>
    <row r="1524" customFormat="false" ht="15.75" hidden="false" customHeight="false" outlineLevel="0" collapsed="false">
      <c r="A1524" s="9"/>
      <c r="B1524" s="9"/>
      <c r="C1524" s="9"/>
      <c r="D1524" s="9"/>
      <c r="E1524" s="9"/>
      <c r="F1524" s="9"/>
      <c r="G1524" s="9"/>
      <c r="H1524" s="9"/>
      <c r="I1524" s="9"/>
    </row>
    <row r="1525" customFormat="false" ht="15.75" hidden="false" customHeight="false" outlineLevel="0" collapsed="false">
      <c r="A1525" s="9"/>
      <c r="B1525" s="9"/>
      <c r="C1525" s="9"/>
      <c r="D1525" s="9"/>
      <c r="E1525" s="9"/>
      <c r="F1525" s="9"/>
      <c r="G1525" s="9"/>
      <c r="H1525" s="9"/>
      <c r="I1525" s="9"/>
    </row>
    <row r="1526" customFormat="false" ht="15.75" hidden="false" customHeight="false" outlineLevel="0" collapsed="false">
      <c r="A1526" s="9"/>
      <c r="B1526" s="9"/>
      <c r="C1526" s="9"/>
      <c r="D1526" s="9"/>
      <c r="E1526" s="9"/>
      <c r="F1526" s="9"/>
      <c r="G1526" s="9"/>
      <c r="H1526" s="9"/>
      <c r="I1526" s="9"/>
    </row>
    <row r="1527" customFormat="false" ht="15.75" hidden="false" customHeight="false" outlineLevel="0" collapsed="false">
      <c r="A1527" s="9"/>
      <c r="B1527" s="9"/>
      <c r="C1527" s="9"/>
      <c r="D1527" s="9"/>
      <c r="E1527" s="9"/>
      <c r="F1527" s="9"/>
      <c r="G1527" s="9"/>
      <c r="H1527" s="9"/>
      <c r="I1527" s="9"/>
    </row>
    <row r="1528" customFormat="false" ht="15.75" hidden="false" customHeight="false" outlineLevel="0" collapsed="false">
      <c r="A1528" s="9"/>
      <c r="B1528" s="9"/>
      <c r="C1528" s="9"/>
      <c r="D1528" s="9"/>
      <c r="E1528" s="9"/>
      <c r="F1528" s="9"/>
      <c r="G1528" s="9"/>
      <c r="H1528" s="9"/>
      <c r="I1528" s="9"/>
    </row>
    <row r="1529" customFormat="false" ht="15.75" hidden="false" customHeight="false" outlineLevel="0" collapsed="false">
      <c r="A1529" s="9"/>
      <c r="B1529" s="9"/>
      <c r="C1529" s="9"/>
      <c r="D1529" s="9"/>
      <c r="E1529" s="9"/>
      <c r="F1529" s="9"/>
      <c r="G1529" s="9"/>
      <c r="H1529" s="9"/>
      <c r="I1529" s="9"/>
    </row>
    <row r="1530" customFormat="false" ht="15.75" hidden="false" customHeight="false" outlineLevel="0" collapsed="false">
      <c r="A1530" s="9"/>
      <c r="B1530" s="9"/>
      <c r="C1530" s="9"/>
      <c r="D1530" s="9"/>
      <c r="E1530" s="9"/>
      <c r="F1530" s="9"/>
      <c r="G1530" s="9"/>
      <c r="H1530" s="9"/>
      <c r="I1530" s="9"/>
    </row>
    <row r="1531" customFormat="false" ht="15.75" hidden="false" customHeight="false" outlineLevel="0" collapsed="false">
      <c r="A1531" s="9"/>
      <c r="B1531" s="9"/>
      <c r="C1531" s="9"/>
      <c r="D1531" s="9"/>
      <c r="E1531" s="9"/>
      <c r="F1531" s="9"/>
      <c r="G1531" s="9"/>
      <c r="H1531" s="9"/>
      <c r="I1531" s="9"/>
    </row>
    <row r="1532" customFormat="false" ht="15.75" hidden="false" customHeight="false" outlineLevel="0" collapsed="false">
      <c r="A1532" s="9"/>
      <c r="B1532" s="9"/>
      <c r="C1532" s="9"/>
      <c r="D1532" s="9"/>
      <c r="E1532" s="9"/>
      <c r="F1532" s="9"/>
      <c r="G1532" s="9"/>
      <c r="H1532" s="9"/>
      <c r="I1532" s="9"/>
    </row>
    <row r="1533" customFormat="false" ht="15.75" hidden="false" customHeight="false" outlineLevel="0" collapsed="false">
      <c r="A1533" s="9"/>
      <c r="B1533" s="9"/>
      <c r="C1533" s="9"/>
      <c r="D1533" s="9"/>
      <c r="E1533" s="9"/>
      <c r="F1533" s="9"/>
      <c r="G1533" s="9"/>
      <c r="H1533" s="9"/>
      <c r="I1533" s="9"/>
    </row>
    <row r="1534" customFormat="false" ht="15.75" hidden="false" customHeight="false" outlineLevel="0" collapsed="false">
      <c r="A1534" s="9"/>
      <c r="B1534" s="9"/>
      <c r="C1534" s="9"/>
      <c r="D1534" s="9"/>
      <c r="E1534" s="9"/>
      <c r="F1534" s="9"/>
      <c r="G1534" s="9"/>
      <c r="H1534" s="9"/>
      <c r="I1534" s="9"/>
    </row>
    <row r="1535" customFormat="false" ht="15.75" hidden="false" customHeight="false" outlineLevel="0" collapsed="false">
      <c r="A1535" s="9"/>
      <c r="B1535" s="9"/>
      <c r="C1535" s="9"/>
      <c r="D1535" s="9"/>
      <c r="E1535" s="9"/>
      <c r="F1535" s="9"/>
      <c r="G1535" s="9"/>
      <c r="H1535" s="9"/>
      <c r="I1535" s="9"/>
    </row>
    <row r="1536" customFormat="false" ht="15.75" hidden="false" customHeight="false" outlineLevel="0" collapsed="false">
      <c r="A1536" s="9"/>
      <c r="B1536" s="9"/>
      <c r="C1536" s="9"/>
      <c r="D1536" s="9"/>
      <c r="E1536" s="9"/>
      <c r="F1536" s="9"/>
      <c r="G1536" s="9"/>
      <c r="H1536" s="9"/>
      <c r="I1536" s="9"/>
    </row>
    <row r="1537" customFormat="false" ht="15.75" hidden="false" customHeight="false" outlineLevel="0" collapsed="false">
      <c r="A1537" s="9"/>
      <c r="B1537" s="9"/>
      <c r="C1537" s="9"/>
      <c r="D1537" s="9"/>
      <c r="E1537" s="9"/>
      <c r="F1537" s="9"/>
      <c r="G1537" s="9"/>
      <c r="H1537" s="9"/>
      <c r="I1537" s="9"/>
    </row>
    <row r="1538" customFormat="false" ht="15.75" hidden="false" customHeight="false" outlineLevel="0" collapsed="false">
      <c r="A1538" s="9"/>
      <c r="B1538" s="9"/>
      <c r="C1538" s="9"/>
      <c r="D1538" s="9"/>
      <c r="E1538" s="9"/>
      <c r="F1538" s="9"/>
      <c r="G1538" s="9"/>
      <c r="H1538" s="9"/>
      <c r="I1538" s="9"/>
    </row>
    <row r="1539" customFormat="false" ht="15.75" hidden="false" customHeight="false" outlineLevel="0" collapsed="false">
      <c r="A1539" s="9"/>
      <c r="B1539" s="9"/>
      <c r="C1539" s="9"/>
      <c r="D1539" s="9"/>
      <c r="E1539" s="9"/>
      <c r="F1539" s="9"/>
      <c r="G1539" s="9"/>
      <c r="H1539" s="9"/>
      <c r="I1539" s="9"/>
    </row>
    <row r="1540" customFormat="false" ht="15.75" hidden="false" customHeight="false" outlineLevel="0" collapsed="false">
      <c r="A1540" s="9"/>
      <c r="B1540" s="9"/>
      <c r="C1540" s="9"/>
      <c r="D1540" s="9"/>
      <c r="E1540" s="9"/>
      <c r="F1540" s="9"/>
      <c r="G1540" s="9"/>
      <c r="H1540" s="9"/>
      <c r="I1540" s="9"/>
    </row>
    <row r="1541" customFormat="false" ht="15.75" hidden="false" customHeight="false" outlineLevel="0" collapsed="false">
      <c r="A1541" s="9"/>
      <c r="B1541" s="9"/>
      <c r="C1541" s="9"/>
      <c r="D1541" s="9"/>
      <c r="E1541" s="9"/>
      <c r="F1541" s="9"/>
      <c r="G1541" s="9"/>
      <c r="H1541" s="9"/>
      <c r="I1541" s="9"/>
    </row>
    <row r="1542" customFormat="false" ht="15.75" hidden="false" customHeight="false" outlineLevel="0" collapsed="false">
      <c r="A1542" s="9"/>
      <c r="B1542" s="9"/>
      <c r="C1542" s="9"/>
      <c r="D1542" s="9"/>
      <c r="E1542" s="9"/>
      <c r="F1542" s="9"/>
      <c r="G1542" s="9"/>
      <c r="H1542" s="9"/>
      <c r="I1542" s="9"/>
    </row>
    <row r="1543" customFormat="false" ht="15.75" hidden="false" customHeight="false" outlineLevel="0" collapsed="false">
      <c r="A1543" s="9"/>
      <c r="B1543" s="9"/>
      <c r="C1543" s="9"/>
      <c r="D1543" s="9"/>
      <c r="E1543" s="9"/>
      <c r="F1543" s="9"/>
      <c r="G1543" s="9"/>
      <c r="H1543" s="9"/>
      <c r="I1543" s="9"/>
    </row>
    <row r="1544" customFormat="false" ht="15.75" hidden="false" customHeight="false" outlineLevel="0" collapsed="false">
      <c r="A1544" s="9"/>
      <c r="B1544" s="9"/>
      <c r="C1544" s="9"/>
      <c r="D1544" s="9"/>
      <c r="E1544" s="9"/>
      <c r="F1544" s="9"/>
      <c r="G1544" s="9"/>
      <c r="H1544" s="9"/>
      <c r="I1544" s="9"/>
    </row>
    <row r="1545" customFormat="false" ht="15.75" hidden="false" customHeight="false" outlineLevel="0" collapsed="false">
      <c r="A1545" s="9"/>
      <c r="B1545" s="9"/>
      <c r="C1545" s="9"/>
      <c r="D1545" s="9"/>
      <c r="E1545" s="9"/>
      <c r="F1545" s="9"/>
      <c r="G1545" s="9"/>
      <c r="H1545" s="9"/>
      <c r="I1545" s="9"/>
    </row>
    <row r="1546" customFormat="false" ht="15.75" hidden="false" customHeight="false" outlineLevel="0" collapsed="false">
      <c r="A1546" s="9"/>
      <c r="B1546" s="9"/>
      <c r="C1546" s="9"/>
      <c r="D1546" s="9"/>
      <c r="E1546" s="9"/>
      <c r="F1546" s="9"/>
      <c r="G1546" s="9"/>
      <c r="H1546" s="9"/>
      <c r="I1546" s="9"/>
    </row>
    <row r="1547" customFormat="false" ht="15.75" hidden="false" customHeight="false" outlineLevel="0" collapsed="false">
      <c r="A1547" s="9"/>
      <c r="B1547" s="9"/>
      <c r="C1547" s="9"/>
      <c r="D1547" s="9"/>
      <c r="E1547" s="9"/>
      <c r="F1547" s="9"/>
      <c r="G1547" s="9"/>
      <c r="H1547" s="9"/>
      <c r="I1547" s="9"/>
    </row>
    <row r="1548" customFormat="false" ht="15.75" hidden="false" customHeight="false" outlineLevel="0" collapsed="false">
      <c r="A1548" s="9"/>
      <c r="B1548" s="9"/>
      <c r="C1548" s="9"/>
      <c r="D1548" s="9"/>
      <c r="E1548" s="9"/>
      <c r="F1548" s="9"/>
      <c r="G1548" s="9"/>
      <c r="H1548" s="9"/>
      <c r="I1548" s="9"/>
    </row>
    <row r="1549" customFormat="false" ht="15.75" hidden="false" customHeight="false" outlineLevel="0" collapsed="false">
      <c r="A1549" s="9"/>
      <c r="B1549" s="9"/>
      <c r="C1549" s="9"/>
      <c r="D1549" s="9"/>
      <c r="E1549" s="9"/>
      <c r="F1549" s="9"/>
      <c r="G1549" s="9"/>
      <c r="H1549" s="9"/>
      <c r="I1549" s="9"/>
    </row>
    <row r="1550" customFormat="false" ht="15.75" hidden="false" customHeight="false" outlineLevel="0" collapsed="false">
      <c r="A1550" s="9"/>
      <c r="B1550" s="9"/>
      <c r="C1550" s="9"/>
      <c r="D1550" s="9"/>
      <c r="E1550" s="9"/>
      <c r="F1550" s="9"/>
      <c r="G1550" s="9"/>
      <c r="H1550" s="9"/>
      <c r="I1550" s="9"/>
    </row>
    <row r="1551" customFormat="false" ht="15.75" hidden="false" customHeight="false" outlineLevel="0" collapsed="false">
      <c r="A1551" s="9"/>
      <c r="B1551" s="9"/>
      <c r="C1551" s="9"/>
      <c r="D1551" s="9"/>
      <c r="E1551" s="9"/>
      <c r="F1551" s="9"/>
      <c r="G1551" s="9"/>
      <c r="H1551" s="9"/>
      <c r="I1551" s="9"/>
    </row>
    <row r="1552" customFormat="false" ht="15.75" hidden="false" customHeight="false" outlineLevel="0" collapsed="false">
      <c r="A1552" s="9"/>
      <c r="B1552" s="9"/>
      <c r="C1552" s="9"/>
      <c r="D1552" s="9"/>
      <c r="E1552" s="9"/>
      <c r="F1552" s="9"/>
      <c r="G1552" s="9"/>
      <c r="H1552" s="9"/>
      <c r="I1552" s="9"/>
    </row>
    <row r="1553" customFormat="false" ht="15.75" hidden="false" customHeight="false" outlineLevel="0" collapsed="false">
      <c r="A1553" s="9"/>
      <c r="B1553" s="9"/>
      <c r="C1553" s="9"/>
      <c r="D1553" s="9"/>
      <c r="E1553" s="9"/>
      <c r="F1553" s="9"/>
      <c r="G1553" s="9"/>
      <c r="H1553" s="9"/>
      <c r="I1553" s="9"/>
    </row>
    <row r="1554" customFormat="false" ht="15.75" hidden="false" customHeight="false" outlineLevel="0" collapsed="false">
      <c r="A1554" s="9"/>
      <c r="B1554" s="9"/>
      <c r="C1554" s="9"/>
      <c r="D1554" s="9"/>
      <c r="E1554" s="9"/>
      <c r="F1554" s="9"/>
      <c r="G1554" s="9"/>
      <c r="H1554" s="9"/>
      <c r="I1554" s="9"/>
    </row>
    <row r="1555" customFormat="false" ht="15.75" hidden="false" customHeight="false" outlineLevel="0" collapsed="false">
      <c r="A1555" s="9"/>
      <c r="B1555" s="9"/>
      <c r="C1555" s="9"/>
      <c r="D1555" s="9"/>
      <c r="E1555" s="9"/>
      <c r="F1555" s="9"/>
      <c r="G1555" s="9"/>
      <c r="H1555" s="9"/>
      <c r="I1555" s="9"/>
    </row>
    <row r="1556" customFormat="false" ht="15.75" hidden="false" customHeight="false" outlineLevel="0" collapsed="false">
      <c r="A1556" s="9"/>
      <c r="B1556" s="9"/>
      <c r="C1556" s="9"/>
      <c r="D1556" s="9"/>
      <c r="E1556" s="9"/>
      <c r="F1556" s="9"/>
      <c r="G1556" s="9"/>
      <c r="H1556" s="9"/>
      <c r="I1556" s="9"/>
    </row>
    <row r="1557" customFormat="false" ht="15.75" hidden="false" customHeight="false" outlineLevel="0" collapsed="false">
      <c r="A1557" s="9"/>
      <c r="B1557" s="9"/>
      <c r="C1557" s="9"/>
      <c r="D1557" s="9"/>
      <c r="E1557" s="9"/>
      <c r="F1557" s="9"/>
      <c r="G1557" s="9"/>
      <c r="H1557" s="9"/>
      <c r="I1557" s="9"/>
    </row>
    <row r="1558" customFormat="false" ht="15.75" hidden="false" customHeight="false" outlineLevel="0" collapsed="false">
      <c r="A1558" s="9"/>
      <c r="B1558" s="9"/>
      <c r="C1558" s="9"/>
      <c r="D1558" s="9"/>
      <c r="E1558" s="9"/>
      <c r="F1558" s="9"/>
      <c r="G1558" s="9"/>
      <c r="H1558" s="9"/>
      <c r="I1558" s="9"/>
    </row>
    <row r="1559" customFormat="false" ht="15.75" hidden="false" customHeight="false" outlineLevel="0" collapsed="false">
      <c r="A1559" s="9"/>
      <c r="B1559" s="9"/>
      <c r="C1559" s="9"/>
      <c r="D1559" s="9"/>
      <c r="E1559" s="9"/>
      <c r="F1559" s="9"/>
      <c r="G1559" s="9"/>
      <c r="H1559" s="9"/>
      <c r="I1559" s="9"/>
    </row>
    <row r="1560" customFormat="false" ht="15.75" hidden="false" customHeight="false" outlineLevel="0" collapsed="false">
      <c r="A1560" s="9"/>
      <c r="B1560" s="9"/>
      <c r="C1560" s="9"/>
      <c r="D1560" s="9"/>
      <c r="E1560" s="9"/>
      <c r="F1560" s="9"/>
      <c r="G1560" s="9"/>
      <c r="H1560" s="9"/>
      <c r="I1560" s="9"/>
    </row>
    <row r="1561" customFormat="false" ht="15.75" hidden="false" customHeight="false" outlineLevel="0" collapsed="false">
      <c r="A1561" s="9"/>
      <c r="B1561" s="9"/>
      <c r="C1561" s="9"/>
      <c r="D1561" s="9"/>
      <c r="E1561" s="9"/>
      <c r="F1561" s="9"/>
      <c r="G1561" s="9"/>
      <c r="H1561" s="9"/>
      <c r="I1561" s="9"/>
    </row>
    <row r="1562" customFormat="false" ht="15.75" hidden="false" customHeight="false" outlineLevel="0" collapsed="false">
      <c r="A1562" s="9"/>
      <c r="B1562" s="9"/>
      <c r="C1562" s="9"/>
      <c r="D1562" s="9"/>
      <c r="E1562" s="9"/>
      <c r="F1562" s="9"/>
      <c r="G1562" s="9"/>
      <c r="H1562" s="9"/>
      <c r="I1562" s="9"/>
    </row>
    <row r="1563" customFormat="false" ht="15.75" hidden="false" customHeight="false" outlineLevel="0" collapsed="false">
      <c r="A1563" s="9"/>
      <c r="B1563" s="9"/>
      <c r="C1563" s="9"/>
      <c r="D1563" s="9"/>
      <c r="E1563" s="9"/>
      <c r="F1563" s="9"/>
      <c r="G1563" s="9"/>
      <c r="H1563" s="9"/>
      <c r="I1563" s="9"/>
    </row>
    <row r="1564" customFormat="false" ht="15.75" hidden="false" customHeight="false" outlineLevel="0" collapsed="false">
      <c r="A1564" s="9"/>
      <c r="B1564" s="9"/>
      <c r="C1564" s="9"/>
      <c r="D1564" s="9"/>
      <c r="E1564" s="9"/>
      <c r="F1564" s="9"/>
      <c r="G1564" s="9"/>
      <c r="H1564" s="9"/>
      <c r="I1564" s="9"/>
    </row>
    <row r="1565" customFormat="false" ht="15.75" hidden="false" customHeight="false" outlineLevel="0" collapsed="false">
      <c r="A1565" s="9"/>
      <c r="B1565" s="9"/>
      <c r="C1565" s="9"/>
      <c r="D1565" s="9"/>
      <c r="E1565" s="9"/>
      <c r="F1565" s="9"/>
      <c r="G1565" s="9"/>
      <c r="H1565" s="9"/>
      <c r="I1565" s="9"/>
    </row>
    <row r="1566" customFormat="false" ht="15.75" hidden="false" customHeight="false" outlineLevel="0" collapsed="false">
      <c r="A1566" s="9"/>
      <c r="B1566" s="9"/>
      <c r="C1566" s="9"/>
      <c r="D1566" s="9"/>
      <c r="E1566" s="9"/>
      <c r="F1566" s="9"/>
      <c r="G1566" s="9"/>
      <c r="H1566" s="9"/>
      <c r="I1566" s="9"/>
    </row>
    <row r="1567" customFormat="false" ht="15.75" hidden="false" customHeight="false" outlineLevel="0" collapsed="false">
      <c r="A1567" s="9"/>
      <c r="B1567" s="9"/>
      <c r="C1567" s="9"/>
      <c r="D1567" s="9"/>
      <c r="E1567" s="9"/>
      <c r="F1567" s="9"/>
      <c r="G1567" s="9"/>
      <c r="H1567" s="9"/>
      <c r="I1567" s="9"/>
    </row>
    <row r="1568" customFormat="false" ht="15.75" hidden="false" customHeight="false" outlineLevel="0" collapsed="false">
      <c r="A1568" s="9"/>
      <c r="B1568" s="9"/>
      <c r="C1568" s="9"/>
      <c r="D1568" s="9"/>
      <c r="E1568" s="9"/>
      <c r="F1568" s="9"/>
      <c r="G1568" s="9"/>
      <c r="H1568" s="9"/>
      <c r="I1568" s="9"/>
    </row>
    <row r="1569" customFormat="false" ht="15.75" hidden="false" customHeight="false" outlineLevel="0" collapsed="false">
      <c r="A1569" s="9"/>
      <c r="B1569" s="9"/>
      <c r="C1569" s="9"/>
      <c r="D1569" s="9"/>
      <c r="E1569" s="9"/>
      <c r="F1569" s="9"/>
      <c r="G1569" s="9"/>
      <c r="H1569" s="9"/>
      <c r="I1569" s="9"/>
    </row>
    <row r="1570" customFormat="false" ht="15.75" hidden="false" customHeight="false" outlineLevel="0" collapsed="false">
      <c r="A1570" s="9"/>
      <c r="B1570" s="9"/>
      <c r="C1570" s="9"/>
      <c r="D1570" s="9"/>
      <c r="E1570" s="9"/>
      <c r="F1570" s="9"/>
      <c r="G1570" s="9"/>
      <c r="H1570" s="9"/>
      <c r="I1570" s="9"/>
    </row>
    <row r="1571" customFormat="false" ht="15.75" hidden="false" customHeight="false" outlineLevel="0" collapsed="false">
      <c r="A1571" s="9"/>
      <c r="B1571" s="9"/>
      <c r="C1571" s="9"/>
      <c r="D1571" s="9"/>
      <c r="E1571" s="9"/>
      <c r="F1571" s="9"/>
      <c r="G1571" s="9"/>
      <c r="H1571" s="9"/>
      <c r="I1571" s="9"/>
    </row>
    <row r="1572" customFormat="false" ht="15.75" hidden="false" customHeight="false" outlineLevel="0" collapsed="false">
      <c r="A1572" s="9"/>
      <c r="B1572" s="9"/>
      <c r="C1572" s="9"/>
      <c r="D1572" s="9"/>
      <c r="E1572" s="9"/>
      <c r="F1572" s="9"/>
      <c r="G1572" s="9"/>
      <c r="H1572" s="9"/>
      <c r="I1572" s="9"/>
    </row>
    <row r="1573" customFormat="false" ht="15.75" hidden="false" customHeight="false" outlineLevel="0" collapsed="false">
      <c r="A1573" s="9"/>
      <c r="B1573" s="9"/>
      <c r="C1573" s="9"/>
      <c r="D1573" s="9"/>
      <c r="E1573" s="9"/>
      <c r="F1573" s="9"/>
      <c r="G1573" s="9"/>
      <c r="H1573" s="9"/>
      <c r="I1573" s="9"/>
    </row>
    <row r="1574" customFormat="false" ht="15.75" hidden="false" customHeight="false" outlineLevel="0" collapsed="false">
      <c r="A1574" s="9"/>
      <c r="B1574" s="9"/>
      <c r="C1574" s="9"/>
      <c r="D1574" s="9"/>
      <c r="E1574" s="9"/>
      <c r="F1574" s="9"/>
      <c r="G1574" s="9"/>
      <c r="H1574" s="9"/>
      <c r="I1574" s="9"/>
    </row>
    <row r="1575" customFormat="false" ht="15.75" hidden="false" customHeight="false" outlineLevel="0" collapsed="false">
      <c r="A1575" s="9"/>
      <c r="B1575" s="9"/>
      <c r="C1575" s="9"/>
      <c r="D1575" s="9"/>
      <c r="E1575" s="9"/>
      <c r="F1575" s="9"/>
      <c r="G1575" s="9"/>
      <c r="H1575" s="9"/>
      <c r="I1575" s="9"/>
    </row>
    <row r="1576" customFormat="false" ht="15.75" hidden="false" customHeight="false" outlineLevel="0" collapsed="false">
      <c r="A1576" s="9"/>
      <c r="B1576" s="9"/>
      <c r="C1576" s="9"/>
      <c r="D1576" s="9"/>
      <c r="E1576" s="9"/>
      <c r="F1576" s="9"/>
      <c r="G1576" s="9"/>
      <c r="H1576" s="9"/>
      <c r="I1576" s="9"/>
    </row>
    <row r="1577" customFormat="false" ht="15.75" hidden="false" customHeight="false" outlineLevel="0" collapsed="false">
      <c r="A1577" s="9"/>
      <c r="B1577" s="9"/>
      <c r="C1577" s="9"/>
      <c r="D1577" s="9"/>
      <c r="E1577" s="9"/>
      <c r="F1577" s="9"/>
      <c r="G1577" s="9"/>
      <c r="H1577" s="9"/>
      <c r="I1577" s="9"/>
    </row>
    <row r="1578" customFormat="false" ht="15.75" hidden="false" customHeight="false" outlineLevel="0" collapsed="false">
      <c r="A1578" s="9"/>
      <c r="B1578" s="9"/>
      <c r="C1578" s="9"/>
      <c r="D1578" s="9"/>
      <c r="E1578" s="9"/>
      <c r="F1578" s="9"/>
      <c r="G1578" s="9"/>
      <c r="H1578" s="9"/>
      <c r="I1578" s="9"/>
    </row>
    <row r="1579" customFormat="false" ht="15.75" hidden="false" customHeight="false" outlineLevel="0" collapsed="false">
      <c r="A1579" s="9"/>
      <c r="B1579" s="9"/>
      <c r="C1579" s="9"/>
      <c r="D1579" s="9"/>
      <c r="E1579" s="9"/>
      <c r="F1579" s="9"/>
      <c r="G1579" s="9"/>
      <c r="H1579" s="9"/>
      <c r="I1579" s="9"/>
    </row>
    <row r="1580" customFormat="false" ht="15.75" hidden="false" customHeight="false" outlineLevel="0" collapsed="false">
      <c r="A1580" s="9"/>
      <c r="B1580" s="9"/>
      <c r="C1580" s="9"/>
      <c r="D1580" s="9"/>
      <c r="E1580" s="9"/>
      <c r="F1580" s="9"/>
      <c r="G1580" s="9"/>
      <c r="H1580" s="9"/>
      <c r="I1580" s="9"/>
    </row>
    <row r="1581" customFormat="false" ht="15.75" hidden="false" customHeight="false" outlineLevel="0" collapsed="false">
      <c r="A1581" s="9"/>
      <c r="B1581" s="9"/>
      <c r="C1581" s="9"/>
      <c r="D1581" s="9"/>
      <c r="E1581" s="9"/>
      <c r="F1581" s="9"/>
      <c r="G1581" s="9"/>
      <c r="H1581" s="9"/>
      <c r="I1581" s="9"/>
    </row>
    <row r="1582" customFormat="false" ht="15.75" hidden="false" customHeight="false" outlineLevel="0" collapsed="false">
      <c r="A1582" s="9"/>
      <c r="B1582" s="9"/>
      <c r="C1582" s="9"/>
      <c r="D1582" s="9"/>
      <c r="E1582" s="9"/>
      <c r="F1582" s="9"/>
      <c r="G1582" s="9"/>
      <c r="H1582" s="9"/>
      <c r="I1582" s="9"/>
    </row>
    <row r="1583" customFormat="false" ht="15.75" hidden="false" customHeight="false" outlineLevel="0" collapsed="false">
      <c r="A1583" s="9"/>
      <c r="B1583" s="9"/>
      <c r="C1583" s="9"/>
      <c r="D1583" s="9"/>
      <c r="E1583" s="9"/>
      <c r="F1583" s="9"/>
      <c r="G1583" s="9"/>
      <c r="H1583" s="9"/>
      <c r="I1583" s="9"/>
    </row>
    <row r="1584" customFormat="false" ht="15.75" hidden="false" customHeight="false" outlineLevel="0" collapsed="false">
      <c r="A1584" s="9"/>
      <c r="B1584" s="9"/>
      <c r="C1584" s="9"/>
      <c r="D1584" s="9"/>
      <c r="E1584" s="9"/>
      <c r="F1584" s="9"/>
      <c r="G1584" s="9"/>
      <c r="H1584" s="9"/>
      <c r="I1584" s="9"/>
    </row>
    <row r="1585" customFormat="false" ht="15.75" hidden="false" customHeight="false" outlineLevel="0" collapsed="false">
      <c r="A1585" s="9"/>
      <c r="B1585" s="9"/>
      <c r="C1585" s="9"/>
      <c r="D1585" s="9"/>
      <c r="E1585" s="9"/>
      <c r="F1585" s="9"/>
      <c r="G1585" s="9"/>
      <c r="H1585" s="9"/>
      <c r="I1585" s="9"/>
    </row>
    <row r="1586" customFormat="false" ht="15.75" hidden="false" customHeight="false" outlineLevel="0" collapsed="false">
      <c r="A1586" s="9"/>
      <c r="B1586" s="9"/>
      <c r="C1586" s="9"/>
      <c r="D1586" s="9"/>
      <c r="E1586" s="9"/>
      <c r="F1586" s="9"/>
      <c r="G1586" s="9"/>
      <c r="H1586" s="9"/>
      <c r="I1586" s="9"/>
    </row>
    <row r="1587" customFormat="false" ht="15.75" hidden="false" customHeight="false" outlineLevel="0" collapsed="false">
      <c r="A1587" s="9"/>
      <c r="B1587" s="9"/>
      <c r="C1587" s="9"/>
      <c r="D1587" s="9"/>
      <c r="E1587" s="9"/>
      <c r="F1587" s="9"/>
      <c r="G1587" s="9"/>
      <c r="H1587" s="9"/>
      <c r="I1587" s="9"/>
    </row>
    <row r="1588" customFormat="false" ht="15.75" hidden="false" customHeight="false" outlineLevel="0" collapsed="false">
      <c r="A1588" s="9"/>
      <c r="B1588" s="9"/>
      <c r="C1588" s="9"/>
      <c r="D1588" s="9"/>
      <c r="E1588" s="9"/>
      <c r="F1588" s="9"/>
      <c r="G1588" s="9"/>
      <c r="H1588" s="9"/>
      <c r="I1588" s="9"/>
    </row>
    <row r="1589" customFormat="false" ht="15.75" hidden="false" customHeight="false" outlineLevel="0" collapsed="false">
      <c r="A1589" s="9"/>
      <c r="B1589" s="9"/>
      <c r="C1589" s="9"/>
      <c r="D1589" s="9"/>
      <c r="E1589" s="9"/>
      <c r="F1589" s="9"/>
      <c r="G1589" s="9"/>
      <c r="H1589" s="9"/>
      <c r="I1589" s="9"/>
    </row>
    <row r="1590" customFormat="false" ht="15.75" hidden="false" customHeight="false" outlineLevel="0" collapsed="false">
      <c r="A1590" s="9"/>
      <c r="B1590" s="9"/>
      <c r="C1590" s="9"/>
      <c r="D1590" s="9"/>
      <c r="E1590" s="9"/>
      <c r="F1590" s="9"/>
      <c r="G1590" s="9"/>
      <c r="H1590" s="9"/>
      <c r="I1590" s="9"/>
    </row>
    <row r="1591" customFormat="false" ht="15.75" hidden="false" customHeight="false" outlineLevel="0" collapsed="false">
      <c r="A1591" s="9"/>
      <c r="B1591" s="9"/>
      <c r="C1591" s="9"/>
      <c r="D1591" s="9"/>
      <c r="E1591" s="9"/>
      <c r="F1591" s="9"/>
      <c r="G1591" s="9"/>
      <c r="H1591" s="9"/>
      <c r="I1591" s="9"/>
    </row>
    <row r="1592" customFormat="false" ht="15.75" hidden="false" customHeight="false" outlineLevel="0" collapsed="false">
      <c r="A1592" s="9"/>
      <c r="B1592" s="9"/>
      <c r="C1592" s="9"/>
      <c r="D1592" s="9"/>
      <c r="E1592" s="9"/>
      <c r="F1592" s="9"/>
      <c r="G1592" s="9"/>
      <c r="H1592" s="9"/>
      <c r="I1592" s="9"/>
    </row>
    <row r="1593" customFormat="false" ht="15.75" hidden="false" customHeight="false" outlineLevel="0" collapsed="false">
      <c r="A1593" s="9"/>
      <c r="B1593" s="9"/>
      <c r="C1593" s="9"/>
      <c r="D1593" s="9"/>
      <c r="E1593" s="9"/>
      <c r="F1593" s="9"/>
      <c r="G1593" s="9"/>
      <c r="H1593" s="9"/>
      <c r="I1593" s="9"/>
    </row>
    <row r="1594" customFormat="false" ht="15.75" hidden="false" customHeight="false" outlineLevel="0" collapsed="false">
      <c r="A1594" s="9"/>
      <c r="B1594" s="9"/>
      <c r="C1594" s="9"/>
      <c r="D1594" s="9"/>
      <c r="E1594" s="9"/>
      <c r="F1594" s="9"/>
      <c r="G1594" s="9"/>
      <c r="H1594" s="9"/>
      <c r="I1594" s="9"/>
    </row>
    <row r="1595" customFormat="false" ht="15.75" hidden="false" customHeight="false" outlineLevel="0" collapsed="false">
      <c r="A1595" s="9"/>
      <c r="B1595" s="9"/>
      <c r="C1595" s="9"/>
      <c r="D1595" s="9"/>
      <c r="E1595" s="9"/>
      <c r="F1595" s="9"/>
      <c r="G1595" s="9"/>
      <c r="H1595" s="9"/>
      <c r="I1595" s="9"/>
    </row>
    <row r="1596" customFormat="false" ht="15.75" hidden="false" customHeight="false" outlineLevel="0" collapsed="false">
      <c r="A1596" s="9"/>
      <c r="B1596" s="9"/>
      <c r="C1596" s="9"/>
      <c r="D1596" s="9"/>
      <c r="E1596" s="9"/>
      <c r="F1596" s="9"/>
      <c r="G1596" s="9"/>
      <c r="H1596" s="9"/>
      <c r="I1596" s="9"/>
    </row>
    <row r="1597" customFormat="false" ht="15.75" hidden="false" customHeight="false" outlineLevel="0" collapsed="false">
      <c r="A1597" s="9"/>
      <c r="B1597" s="9"/>
      <c r="C1597" s="9"/>
      <c r="D1597" s="9"/>
      <c r="E1597" s="9"/>
      <c r="F1597" s="9"/>
      <c r="G1597" s="9"/>
      <c r="H1597" s="9"/>
      <c r="I1597" s="9"/>
    </row>
    <row r="1598" customFormat="false" ht="15.75" hidden="false" customHeight="false" outlineLevel="0" collapsed="false">
      <c r="A1598" s="9"/>
      <c r="B1598" s="9"/>
      <c r="C1598" s="9"/>
      <c r="D1598" s="9"/>
      <c r="E1598" s="9"/>
      <c r="F1598" s="9"/>
      <c r="G1598" s="9"/>
      <c r="H1598" s="9"/>
      <c r="I1598" s="9"/>
    </row>
    <row r="1599" customFormat="false" ht="15.75" hidden="false" customHeight="false" outlineLevel="0" collapsed="false">
      <c r="A1599" s="9"/>
      <c r="B1599" s="9"/>
      <c r="C1599" s="9"/>
      <c r="D1599" s="9"/>
      <c r="E1599" s="9"/>
      <c r="F1599" s="9"/>
      <c r="G1599" s="9"/>
      <c r="H1599" s="9"/>
      <c r="I1599" s="9"/>
    </row>
    <row r="1600" customFormat="false" ht="15.75" hidden="false" customHeight="false" outlineLevel="0" collapsed="false">
      <c r="A1600" s="9"/>
      <c r="B1600" s="9"/>
      <c r="C1600" s="9"/>
      <c r="D1600" s="9"/>
      <c r="E1600" s="9"/>
      <c r="F1600" s="9"/>
      <c r="G1600" s="9"/>
      <c r="H1600" s="9"/>
      <c r="I1600" s="9"/>
    </row>
    <row r="1601" customFormat="false" ht="15.75" hidden="false" customHeight="false" outlineLevel="0" collapsed="false">
      <c r="A1601" s="9"/>
      <c r="B1601" s="9"/>
      <c r="C1601" s="9"/>
      <c r="D1601" s="9"/>
      <c r="E1601" s="9"/>
      <c r="F1601" s="9"/>
      <c r="G1601" s="9"/>
      <c r="H1601" s="9"/>
      <c r="I1601" s="9"/>
    </row>
  </sheetData>
  <conditionalFormatting sqref="D2:D1475">
    <cfRule type="colorScale" priority="2">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C167:C170 C172:C175 C177:C180 C182:C185 C187:C190 C192:C195 C197:C200 C202:C205 C207:C210 C212:C215 C217:C220 C222:C225 C227:C230 C232:C235 C237:C240 C242:C245 C247:C250 C252:C255 C257:C260 C262:C265 C267:C270 C272:C275 C277:C280 C282:C285 C287:C290 C292:C295 C297:C300 C302:C305 C307:C310 C312:C315 C317:C320 C322:C325 C327:C330 C332:C335 C337:C340 C342:C345 C347:C350 C352:C355 C357:C360 C362:C365 C367:C370 C372:C375 C377:C380 C382:C385 C387:C390 C392:C395 C397:C400 C402:C405 C407:C410 C412:C415 C417:C420 C422:C425 C427:C430 C432:C435 C437:C440 C442:C445 C447:C450 C452:C455 C457:C460 C462:C465 C467:C470 C472:C475 C477:C480 C482:C485 C487:C490 C492:C495 C497:C500 C502:C505 C507:C510 C512:C515 C517:C520 C522:C525 C527:C530 C532:C535 C537:C540 C542:C545 C547:C550 C552:C555 C557:C560 C562:C565 C567:C570 C572:C575 C577:C580 C582:C585 C587:C590 C592:C595 C597:C600 C602:C605 C607:C610 C612:C615 C617:C620 C622:C625 C627:C630 C632:C635 C637:C640 C642:C645 C647:C650 C652:C655 C657:C660 C662:C665 C667:C670 C672:C675 C677:C680 C682:C685 C687:C690 C692:C695 C697:C700 C702:C705 C707:C710 C712:C715 C717:C720 C722:C725 C727:C730 C732:C735 C737:C740 C742:C745 C747:C750 C752:C755 C757:C760 C762:C765 C767:C770 C772:C775 C777:C780 C782:C785 C787:C790 C792:C795 C797:C800 C802:C805 C807:C810 C812:C815 C817:C820 C822:C825 C827:C830 C832:C835 C837:C840 C842:C845 C847:C850 C852:C855 C857:C860 C862:C865 C867:C870 C872:C875 C877:C880 C882:C885 C887:C890 C892:C895 C897:C900 C902:C905 C907:C910 C912:C915 C917:C920 C922:C925 C927:C930 C932:C935 C937:C940 C942:C945 C947:C950 C952:C955 C957:C960 C962:C965 C967:C970 C972:C975 C977:C980 C982:C985 C987:C990" type="list">
      <formula1>"5W1H,Base,CoT,tldr,Heading,Jeremy,Begoña,Alba,Naiara"</formula1>
      <formula2>0</formula2>
    </dataValidation>
    <dataValidation allowBlank="true" errorStyle="stop" operator="between" showDropDown="false" showErrorMessage="true" showInputMessage="false"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5 E207:I210 E212:I215 E217:I220 E222:I225 E227:I230 E232:I235 E237:I240 E242:I245 E247:I250 E252:I255 E257:I260 E262:I265 E267:I270 E272:I275 E277:I280 E282:I285 E287:I290 E292:I295 E297:I300 E302:I305 E307:I310 E312:I315 E317:I320 E322:I325 E327:I330 E332:I335 E337:I340 E342:I345 E347:I350 E352:I355 E357:I360 E362:I365 E367:I370 E372:I375 E377:I380 E382:I385 E387:I390 E392:I395 E397:I400 E402:I405 E407:I410 E412:I415 E417:I420 E422:I425 E427:I430 E432:I435 E437:I440 E442:I445 E447:I450 E452:I455 E457:I460 E462:I465 E467:I470 E472:I475 E477:I480 E482:I485 E487:I490 E492:I495 E497:I500 E502:I505 E507:I510 E512:I515 E517:I520 E522:I525 E527:I530 E532:I535 E537:I540 E542:I545 E547:I550 E552:I555 E557:I560 E562:I565 E567:I570 E572:I575 E577:I580 E582:I585 E587:I590 E592:I595 E597:I600 E602:I605 E607:I610 E612:I615 E617:I620 E622:I625 E627:I630 E632:I635 E637:I640 E642:I645 E647:I650 E652:I655 E657:I660 E662:I665 E667:I670 E672:I675 E677:I680 E682:I685 E687:I690 E692:I695 E697:I700 E702:I705 E707:I710 E712:I715 E717:I720 E722:I725 E727:I730 E732:I735 E737:I740 E742:I745 E747:I750 E752:I755 E757:I760 E762:I765 E767:I770 E772:I775 E777:I780 E782:I785 E787:I790 E792:I795 E797:I800 E802:I805 E807:I810 E812:I815 E817:I820 E822:I825 E827:I830 E832:I835 E837:I840 E842:I845 E847:I850 E852:I855 E857:I860 E862:I865 E867:I870 E872:I875 E877:I880 E882:I885 E887:I890 E892:I895 E897:I900 E902:I905 E907:I910 E912:I915 E917:I920 E922:I925 E927:I930 E932:I935 E937:I940 E942:I945 E947:I950 E952:I955 E957:I960 E962:I965 E967:I970 E972:I975 E977:I980 E982:I985 E987:I990" type="list">
      <formula1>"1,2,3,4,5"</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2:A101 A1"/>
    </sheetView>
  </sheetViews>
  <sheetFormatPr defaultColWidth="12.6328125" defaultRowHeight="15.75" zeroHeight="false" outlineLevelRow="0" outlineLevelCol="0"/>
  <cols>
    <col collapsed="false" customWidth="true" hidden="false" outlineLevel="0" max="1" min="1" style="1" width="152.13"/>
  </cols>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2:A101 A1"/>
    </sheetView>
  </sheetViews>
  <sheetFormatPr defaultColWidth="12.6328125" defaultRowHeight="15.75" zeroHeight="false" outlineLevelRow="0" outlineLevelCol="0"/>
  <sheetData>
    <row r="1" customFormat="false" ht="15.75" hidden="false" customHeight="false" outlineLevel="0" collapsed="false">
      <c r="A1" s="9" t="s">
        <v>17</v>
      </c>
      <c r="B1" s="9" t="n">
        <v>1</v>
      </c>
    </row>
    <row r="2" customFormat="false" ht="15.75" hidden="false" customHeight="false" outlineLevel="0" collapsed="false">
      <c r="A2" s="9" t="s">
        <v>21</v>
      </c>
      <c r="B2" s="9" t="n">
        <v>2</v>
      </c>
    </row>
    <row r="3" customFormat="false" ht="15.75" hidden="false" customHeight="false" outlineLevel="0" collapsed="false">
      <c r="A3" s="9" t="s">
        <v>22</v>
      </c>
      <c r="B3" s="9" t="n">
        <v>3</v>
      </c>
    </row>
    <row r="4" customFormat="false" ht="15.75" hidden="false" customHeight="false" outlineLevel="0" collapsed="false">
      <c r="A4" s="9" t="s">
        <v>23</v>
      </c>
      <c r="B4" s="9" t="n">
        <v>4</v>
      </c>
    </row>
    <row r="5" customFormat="false" ht="15.75" hidden="false" customHeight="false" outlineLevel="0" collapsed="false">
      <c r="A5" s="9" t="s">
        <v>18</v>
      </c>
      <c r="B5" s="9" t="n">
        <v>10</v>
      </c>
    </row>
    <row r="6" customFormat="false" ht="15.75" hidden="false" customHeight="false" outlineLevel="0" collapsed="false">
      <c r="A6" s="9" t="s">
        <v>19</v>
      </c>
      <c r="B6" s="9" t="n">
        <v>11</v>
      </c>
    </row>
    <row r="7" customFormat="false" ht="15.75" hidden="false" customHeight="false" outlineLevel="0" collapsed="false">
      <c r="A7" s="9" t="s">
        <v>8</v>
      </c>
      <c r="B7" s="9" t="n">
        <v>12</v>
      </c>
    </row>
    <row r="8" customFormat="false" ht="15.75" hidden="false" customHeight="false" outlineLevel="0" collapsed="false">
      <c r="A8" s="9" t="s">
        <v>20</v>
      </c>
      <c r="B8" s="9" t="n">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2025-02-12T14:10:26Z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